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7.xml" ContentType="application/vnd.openxmlformats-officedocument.drawing+xml"/>
  <Override PartName="/xl/ctrlProps/ctrlProp41.xml" ContentType="application/vnd.ms-excel.controlproperties+xml"/>
  <Override PartName="/xl/drawings/drawing8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9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1da1433e723092/RAKZID/PARTNERS/Lane/Corporate/LAN20-COR-412-001 Website/Assets/"/>
    </mc:Choice>
  </mc:AlternateContent>
  <xr:revisionPtr revIDLastSave="0" documentId="13_ncr:1_{13EE820D-0478-4EC2-A920-F00913D06807}" xr6:coauthVersionLast="47" xr6:coauthVersionMax="47" xr10:uidLastSave="{00000000-0000-0000-0000-000000000000}"/>
  <workbookProtection workbookAlgorithmName="SHA-512" workbookHashValue="LLyhuGoOklaFvDJ/QEC0B/C8k4AGq0YpFZW+NnyXvK5hip8b5y2gMe7t2ilNk4kcuc7hz25oqTSaKNmrWf9grQ==" workbookSaltValue="9vTBPoOEhoEYDGMxcw5UYw==" workbookSpinCount="100000" lockStructure="1"/>
  <bookViews>
    <workbookView xWindow="37425" yWindow="-12255" windowWidth="21600" windowHeight="13755" tabRatio="865" activeTab="6" xr2:uid="{00000000-000D-0000-FFFF-FFFF00000000}"/>
  </bookViews>
  <sheets>
    <sheet name="Index" sheetId="7" r:id="rId1"/>
    <sheet name="0-Manifold" sheetId="4" r:id="rId2"/>
    <sheet name="1-Manifold (Full Length)" sheetId="1" r:id="rId3"/>
    <sheet name="2-Manifold (Full Length)" sheetId="3" r:id="rId4"/>
    <sheet name="1-Manifold (Variable Length)" sheetId="5" r:id="rId5"/>
    <sheet name="2-Manifold (Variable Length)" sheetId="6" r:id="rId6"/>
    <sheet name="3-Stage Storage" sheetId="13" r:id="rId7"/>
    <sheet name="Fittings" sheetId="10" state="hidden" r:id="rId8"/>
    <sheet name="DWG INFO" sheetId="18" r:id="rId9"/>
    <sheet name="Data" sheetId="2" state="hidden" r:id="rId10"/>
    <sheet name="Bearing Pressures" sheetId="17" state="hidden" r:id="rId11"/>
  </sheets>
  <definedNames>
    <definedName name="_xlnm.Print_Area" localSheetId="1">'0-Manifold'!$E$1:$BE$63</definedName>
    <definedName name="_xlnm.Print_Area" localSheetId="2">'1-Manifold (Full Length)'!$E$2:$BG$64</definedName>
    <definedName name="_xlnm.Print_Area" localSheetId="4">'1-Manifold (Variable Length)'!$E$1:$BG$64</definedName>
    <definedName name="_xlnm.Print_Area" localSheetId="3">'2-Manifold (Full Length)'!$E$1:$BG$64</definedName>
    <definedName name="_xlnm.Print_Area" localSheetId="5">'2-Manifold (Variable Length)'!$E$1:$BG$64</definedName>
    <definedName name="_xlnm.Print_Area" localSheetId="6">'3-Stage Storage'!$A$1:$K$59</definedName>
    <definedName name="_xlnm.Print_Area" localSheetId="10">'Bearing Pressures'!$Q$1:$AW$70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3" l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B58" i="13"/>
  <c r="C58" i="13" s="1"/>
  <c r="B57" i="13"/>
  <c r="C57" i="13" s="1"/>
  <c r="B56" i="13"/>
  <c r="C56" i="13" s="1"/>
  <c r="B55" i="13"/>
  <c r="C55" i="13" s="1"/>
  <c r="B54" i="13"/>
  <c r="C54" i="13" s="1"/>
  <c r="B53" i="13"/>
  <c r="C53" i="13" s="1"/>
  <c r="B52" i="13"/>
  <c r="C52" i="13" s="1"/>
  <c r="B51" i="13"/>
  <c r="C51" i="13" s="1"/>
  <c r="B50" i="13"/>
  <c r="C50" i="13" s="1"/>
  <c r="B49" i="13"/>
  <c r="C49" i="13" s="1"/>
  <c r="B48" i="13"/>
  <c r="C48" i="13" s="1"/>
  <c r="B47" i="13"/>
  <c r="C47" i="13" s="1"/>
  <c r="B46" i="13"/>
  <c r="C46" i="13" s="1"/>
  <c r="B45" i="13"/>
  <c r="C45" i="13" s="1"/>
  <c r="B44" i="13"/>
  <c r="C44" i="13" s="1"/>
  <c r="B43" i="13"/>
  <c r="C43" i="13" s="1"/>
  <c r="B42" i="13"/>
  <c r="C42" i="13" s="1"/>
  <c r="B41" i="13"/>
  <c r="C41" i="13" s="1"/>
  <c r="B40" i="13"/>
  <c r="C40" i="13" s="1"/>
  <c r="B39" i="13"/>
  <c r="C39" i="13" s="1"/>
  <c r="B38" i="13"/>
  <c r="C38" i="13" s="1"/>
  <c r="B37" i="13"/>
  <c r="C37" i="13" s="1"/>
  <c r="B36" i="13"/>
  <c r="C36" i="13" s="1"/>
  <c r="B35" i="13"/>
  <c r="C35" i="13" s="1"/>
  <c r="B34" i="13"/>
  <c r="C34" i="13" s="1"/>
  <c r="B33" i="13"/>
  <c r="C33" i="13" s="1"/>
  <c r="B32" i="13"/>
  <c r="C32" i="13" s="1"/>
  <c r="B31" i="13"/>
  <c r="C31" i="13" s="1"/>
  <c r="B30" i="13"/>
  <c r="C30" i="13" s="1"/>
  <c r="B29" i="13"/>
  <c r="C29" i="13" s="1"/>
  <c r="B28" i="13"/>
  <c r="C28" i="13" s="1"/>
  <c r="B27" i="13"/>
  <c r="C27" i="13" s="1"/>
  <c r="B26" i="13"/>
  <c r="C26" i="13" s="1"/>
  <c r="B25" i="13"/>
  <c r="C25" i="13" s="1"/>
  <c r="B24" i="13"/>
  <c r="C24" i="13" s="1"/>
  <c r="B23" i="13"/>
  <c r="C23" i="13" s="1"/>
  <c r="B22" i="13"/>
  <c r="C22" i="13" s="1"/>
  <c r="B21" i="13"/>
  <c r="C21" i="13" s="1"/>
  <c r="B20" i="13"/>
  <c r="C20" i="13" s="1"/>
  <c r="B19" i="13"/>
  <c r="C19" i="13" s="1"/>
  <c r="B18" i="13"/>
  <c r="D22" i="13" l="1"/>
  <c r="E22" i="13" s="1"/>
  <c r="D30" i="13"/>
  <c r="E30" i="13" s="1"/>
  <c r="I37" i="13"/>
  <c r="I45" i="13"/>
  <c r="I53" i="13"/>
  <c r="J53" i="13" s="1"/>
  <c r="D38" i="13"/>
  <c r="E38" i="13" s="1"/>
  <c r="D46" i="13"/>
  <c r="D54" i="13"/>
  <c r="E54" i="13" s="1"/>
  <c r="I21" i="13"/>
  <c r="J21" i="13" s="1"/>
  <c r="I29" i="13"/>
  <c r="J29" i="13" s="1"/>
  <c r="D23" i="13"/>
  <c r="E23" i="13" s="1"/>
  <c r="D31" i="13"/>
  <c r="E31" i="13" s="1"/>
  <c r="D39" i="13"/>
  <c r="E39" i="13" s="1"/>
  <c r="D47" i="13"/>
  <c r="E47" i="13" s="1"/>
  <c r="D55" i="13"/>
  <c r="E55" i="13" s="1"/>
  <c r="I22" i="13"/>
  <c r="J22" i="13" s="1"/>
  <c r="I30" i="13"/>
  <c r="J30" i="13" s="1"/>
  <c r="I38" i="13"/>
  <c r="J38" i="13" s="1"/>
  <c r="I46" i="13"/>
  <c r="J46" i="13" s="1"/>
  <c r="I54" i="13"/>
  <c r="J54" i="13" s="1"/>
  <c r="D24" i="13"/>
  <c r="E24" i="13" s="1"/>
  <c r="D32" i="13"/>
  <c r="E32" i="13" s="1"/>
  <c r="D40" i="13"/>
  <c r="E40" i="13" s="1"/>
  <c r="D48" i="13"/>
  <c r="E48" i="13" s="1"/>
  <c r="D56" i="13"/>
  <c r="E56" i="13" s="1"/>
  <c r="I23" i="13"/>
  <c r="J23" i="13" s="1"/>
  <c r="I31" i="13"/>
  <c r="J31" i="13" s="1"/>
  <c r="I39" i="13"/>
  <c r="J39" i="13" s="1"/>
  <c r="I47" i="13"/>
  <c r="J47" i="13" s="1"/>
  <c r="I55" i="13"/>
  <c r="J55" i="13" s="1"/>
  <c r="E46" i="13"/>
  <c r="J37" i="13"/>
  <c r="J45" i="13"/>
  <c r="C18" i="13"/>
  <c r="D25" i="13"/>
  <c r="E25" i="13" s="1"/>
  <c r="D33" i="13"/>
  <c r="E33" i="13" s="1"/>
  <c r="D41" i="13"/>
  <c r="E41" i="13" s="1"/>
  <c r="D49" i="13"/>
  <c r="D57" i="13"/>
  <c r="E57" i="13" s="1"/>
  <c r="I24" i="13"/>
  <c r="J24" i="13" s="1"/>
  <c r="I32" i="13"/>
  <c r="J32" i="13" s="1"/>
  <c r="I40" i="13"/>
  <c r="J40" i="13" s="1"/>
  <c r="I48" i="13"/>
  <c r="J48" i="13" s="1"/>
  <c r="I56" i="13"/>
  <c r="J56" i="13" s="1"/>
  <c r="D18" i="13"/>
  <c r="D26" i="13"/>
  <c r="E26" i="13" s="1"/>
  <c r="D34" i="13"/>
  <c r="E34" i="13" s="1"/>
  <c r="D42" i="13"/>
  <c r="E42" i="13" s="1"/>
  <c r="D50" i="13"/>
  <c r="E50" i="13" s="1"/>
  <c r="D58" i="13"/>
  <c r="E58" i="13" s="1"/>
  <c r="I25" i="13"/>
  <c r="J25" i="13" s="1"/>
  <c r="I33" i="13"/>
  <c r="J33" i="13" s="1"/>
  <c r="I41" i="13"/>
  <c r="J41" i="13" s="1"/>
  <c r="I49" i="13"/>
  <c r="J49" i="13" s="1"/>
  <c r="I57" i="13"/>
  <c r="J57" i="13" s="1"/>
  <c r="D19" i="13"/>
  <c r="E19" i="13" s="1"/>
  <c r="D27" i="13"/>
  <c r="E27" i="13" s="1"/>
  <c r="D35" i="13"/>
  <c r="E35" i="13" s="1"/>
  <c r="D43" i="13"/>
  <c r="E43" i="13" s="1"/>
  <c r="D51" i="13"/>
  <c r="E51" i="13" s="1"/>
  <c r="I18" i="13"/>
  <c r="J18" i="13" s="1"/>
  <c r="I26" i="13"/>
  <c r="J26" i="13" s="1"/>
  <c r="I34" i="13"/>
  <c r="J34" i="13" s="1"/>
  <c r="I42" i="13"/>
  <c r="J42" i="13" s="1"/>
  <c r="I50" i="13"/>
  <c r="J50" i="13" s="1"/>
  <c r="I58" i="13"/>
  <c r="J58" i="13" s="1"/>
  <c r="E49" i="13"/>
  <c r="D20" i="13"/>
  <c r="E20" i="13" s="1"/>
  <c r="D28" i="13"/>
  <c r="E28" i="13" s="1"/>
  <c r="D36" i="13"/>
  <c r="E36" i="13" s="1"/>
  <c r="D44" i="13"/>
  <c r="E44" i="13" s="1"/>
  <c r="D52" i="13"/>
  <c r="E52" i="13" s="1"/>
  <c r="I19" i="13"/>
  <c r="J19" i="13" s="1"/>
  <c r="I27" i="13"/>
  <c r="J27" i="13" s="1"/>
  <c r="I35" i="13"/>
  <c r="J35" i="13" s="1"/>
  <c r="I43" i="13"/>
  <c r="J43" i="13" s="1"/>
  <c r="I51" i="13"/>
  <c r="J51" i="13" s="1"/>
  <c r="D21" i="13"/>
  <c r="E21" i="13" s="1"/>
  <c r="D29" i="13"/>
  <c r="E29" i="13" s="1"/>
  <c r="D37" i="13"/>
  <c r="E37" i="13" s="1"/>
  <c r="D45" i="13"/>
  <c r="E45" i="13" s="1"/>
  <c r="D53" i="13"/>
  <c r="E53" i="13" s="1"/>
  <c r="I20" i="13"/>
  <c r="J20" i="13" s="1"/>
  <c r="I28" i="13"/>
  <c r="J28" i="13" s="1"/>
  <c r="I36" i="13"/>
  <c r="J36" i="13" s="1"/>
  <c r="I44" i="13"/>
  <c r="J44" i="13" s="1"/>
  <c r="I52" i="13"/>
  <c r="J52" i="13" s="1"/>
  <c r="K45" i="18"/>
  <c r="M36" i="18"/>
  <c r="M35" i="18"/>
  <c r="M33" i="18"/>
  <c r="AB33" i="18" s="1"/>
  <c r="AE25" i="18"/>
  <c r="W25" i="18"/>
  <c r="AE23" i="18"/>
  <c r="AE19" i="18"/>
  <c r="AE17" i="18"/>
  <c r="AE21" i="18"/>
  <c r="W23" i="18"/>
  <c r="W21" i="18"/>
  <c r="W19" i="18"/>
  <c r="W17" i="18"/>
  <c r="S13" i="18"/>
  <c r="S11" i="18"/>
  <c r="P89" i="10"/>
  <c r="Q89" i="10" s="1"/>
  <c r="O89" i="10"/>
  <c r="N89" i="10"/>
  <c r="P88" i="10"/>
  <c r="O88" i="10"/>
  <c r="Q88" i="10" s="1"/>
  <c r="N88" i="10"/>
  <c r="P87" i="10"/>
  <c r="Q87" i="10" s="1"/>
  <c r="O87" i="10"/>
  <c r="N87" i="10"/>
  <c r="P86" i="10"/>
  <c r="O86" i="10"/>
  <c r="Q86" i="10" s="1"/>
  <c r="N86" i="10"/>
  <c r="P85" i="10"/>
  <c r="Q85" i="10" s="1"/>
  <c r="O85" i="10"/>
  <c r="N85" i="10"/>
  <c r="P84" i="10"/>
  <c r="O84" i="10"/>
  <c r="Q84" i="10" s="1"/>
  <c r="N84" i="10"/>
  <c r="P83" i="10"/>
  <c r="Q83" i="10" s="1"/>
  <c r="O83" i="10"/>
  <c r="N83" i="10"/>
  <c r="P82" i="10"/>
  <c r="O82" i="10"/>
  <c r="Q82" i="10" s="1"/>
  <c r="N82" i="10"/>
  <c r="P81" i="10"/>
  <c r="Q81" i="10" s="1"/>
  <c r="O81" i="10"/>
  <c r="N81" i="10"/>
  <c r="P80" i="10"/>
  <c r="O80" i="10"/>
  <c r="Q80" i="10" s="1"/>
  <c r="N80" i="10"/>
  <c r="P79" i="10"/>
  <c r="Q79" i="10" s="1"/>
  <c r="O79" i="10"/>
  <c r="N79" i="10"/>
  <c r="P78" i="10"/>
  <c r="O78" i="10"/>
  <c r="Q78" i="10" s="1"/>
  <c r="N78" i="10"/>
  <c r="P77" i="10"/>
  <c r="Q77" i="10" s="1"/>
  <c r="O77" i="10"/>
  <c r="N77" i="10"/>
  <c r="P76" i="10"/>
  <c r="O76" i="10"/>
  <c r="Q76" i="10" s="1"/>
  <c r="N76" i="10"/>
  <c r="P75" i="10"/>
  <c r="Q75" i="10" s="1"/>
  <c r="O75" i="10"/>
  <c r="N75" i="10"/>
  <c r="P74" i="10"/>
  <c r="O74" i="10"/>
  <c r="Q74" i="10" s="1"/>
  <c r="N74" i="10"/>
  <c r="P73" i="10"/>
  <c r="Q73" i="10" s="1"/>
  <c r="O73" i="10"/>
  <c r="N73" i="10"/>
  <c r="P72" i="10"/>
  <c r="O72" i="10"/>
  <c r="Q72" i="10" s="1"/>
  <c r="N72" i="10"/>
  <c r="P71" i="10"/>
  <c r="Q71" i="10" s="1"/>
  <c r="O71" i="10"/>
  <c r="N71" i="10"/>
  <c r="P70" i="10"/>
  <c r="O70" i="10"/>
  <c r="Q70" i="10" s="1"/>
  <c r="N70" i="10"/>
  <c r="P69" i="10"/>
  <c r="Q69" i="10" s="1"/>
  <c r="O69" i="10"/>
  <c r="N69" i="10"/>
  <c r="P68" i="10"/>
  <c r="O68" i="10"/>
  <c r="Q68" i="10" s="1"/>
  <c r="N68" i="10"/>
  <c r="P67" i="10"/>
  <c r="Q67" i="10" s="1"/>
  <c r="O67" i="10"/>
  <c r="N67" i="10"/>
  <c r="P66" i="10"/>
  <c r="O66" i="10"/>
  <c r="Q66" i="10" s="1"/>
  <c r="N66" i="10"/>
  <c r="P65" i="10"/>
  <c r="Q65" i="10" s="1"/>
  <c r="O65" i="10"/>
  <c r="N65" i="10"/>
  <c r="P64" i="10"/>
  <c r="O64" i="10"/>
  <c r="Q64" i="10" s="1"/>
  <c r="N64" i="10"/>
  <c r="P63" i="10"/>
  <c r="Q63" i="10" s="1"/>
  <c r="O63" i="10"/>
  <c r="N63" i="10"/>
  <c r="P62" i="10"/>
  <c r="O62" i="10"/>
  <c r="Q62" i="10" s="1"/>
  <c r="N62" i="10"/>
  <c r="P61" i="10"/>
  <c r="Q61" i="10" s="1"/>
  <c r="O61" i="10"/>
  <c r="N61" i="10"/>
  <c r="E18" i="13" l="1"/>
  <c r="M38" i="18"/>
  <c r="Y48" i="18" s="1"/>
  <c r="J99" i="2"/>
  <c r="J90" i="2"/>
  <c r="J89" i="2"/>
  <c r="X45" i="18" l="1"/>
  <c r="Z46" i="18"/>
  <c r="X44" i="18"/>
  <c r="AB35" i="18"/>
  <c r="AB38" i="18" s="1"/>
  <c r="AB37" i="18" l="1"/>
  <c r="AB36" i="18"/>
  <c r="Y47" i="18"/>
  <c r="X42" i="18" l="1"/>
  <c r="X43" i="18"/>
  <c r="N660" i="10"/>
  <c r="O660" i="10"/>
  <c r="N659" i="10"/>
  <c r="O659" i="10"/>
  <c r="N658" i="10"/>
  <c r="O658" i="10"/>
  <c r="P660" i="10"/>
  <c r="P659" i="10"/>
  <c r="P658" i="10"/>
  <c r="P651" i="10"/>
  <c r="O651" i="10"/>
  <c r="N651" i="10"/>
  <c r="P650" i="10"/>
  <c r="O650" i="10"/>
  <c r="N650" i="10"/>
  <c r="P640" i="10"/>
  <c r="O640" i="10"/>
  <c r="N640" i="10"/>
  <c r="P639" i="10"/>
  <c r="O639" i="10"/>
  <c r="N639" i="10"/>
  <c r="P629" i="10"/>
  <c r="Q629" i="10" s="1"/>
  <c r="O629" i="10"/>
  <c r="N629" i="10"/>
  <c r="P628" i="10"/>
  <c r="O628" i="10"/>
  <c r="N628" i="10"/>
  <c r="P618" i="10"/>
  <c r="O618" i="10"/>
  <c r="N618" i="10"/>
  <c r="P566" i="10"/>
  <c r="O566" i="10"/>
  <c r="N566" i="10"/>
  <c r="P565" i="10"/>
  <c r="O565" i="10"/>
  <c r="N565" i="10"/>
  <c r="P555" i="10"/>
  <c r="O555" i="10"/>
  <c r="N555" i="10"/>
  <c r="P554" i="10"/>
  <c r="O554" i="10"/>
  <c r="N554" i="10"/>
  <c r="P544" i="10"/>
  <c r="O544" i="10"/>
  <c r="N544" i="10"/>
  <c r="P543" i="10"/>
  <c r="Q543" i="10" s="1"/>
  <c r="O543" i="10"/>
  <c r="N543" i="10"/>
  <c r="N542" i="10"/>
  <c r="N533" i="10"/>
  <c r="O533" i="10"/>
  <c r="Q659" i="10" l="1"/>
  <c r="Q650" i="10"/>
  <c r="Q628" i="10"/>
  <c r="Q660" i="10"/>
  <c r="Q544" i="10"/>
  <c r="Q639" i="10"/>
  <c r="Q618" i="10"/>
  <c r="Q565" i="10"/>
  <c r="Q651" i="10"/>
  <c r="Q555" i="10"/>
  <c r="Q554" i="10"/>
  <c r="Q640" i="10"/>
  <c r="Q566" i="10"/>
  <c r="Q658" i="10"/>
  <c r="P533" i="10"/>
  <c r="Q533" i="10" s="1"/>
  <c r="P93" i="10"/>
  <c r="O93" i="10"/>
  <c r="N93" i="10"/>
  <c r="P92" i="10"/>
  <c r="O92" i="10"/>
  <c r="N92" i="10"/>
  <c r="P91" i="10"/>
  <c r="O91" i="10"/>
  <c r="N91" i="10"/>
  <c r="P90" i="10"/>
  <c r="O90" i="10"/>
  <c r="N90" i="10"/>
  <c r="P31" i="10"/>
  <c r="O31" i="10"/>
  <c r="N31" i="10"/>
  <c r="P30" i="10"/>
  <c r="O30" i="10"/>
  <c r="N30" i="10"/>
  <c r="P29" i="10"/>
  <c r="O29" i="10"/>
  <c r="N29" i="10"/>
  <c r="P28" i="10"/>
  <c r="O28" i="10"/>
  <c r="N28" i="10"/>
  <c r="P27" i="10"/>
  <c r="O27" i="10"/>
  <c r="N27" i="10"/>
  <c r="P26" i="10"/>
  <c r="O26" i="10"/>
  <c r="N26" i="10"/>
  <c r="P25" i="10"/>
  <c r="O25" i="10"/>
  <c r="N25" i="10"/>
  <c r="P24" i="10"/>
  <c r="O24" i="10"/>
  <c r="N24" i="10"/>
  <c r="P23" i="10"/>
  <c r="O23" i="10"/>
  <c r="N23" i="10"/>
  <c r="P22" i="10"/>
  <c r="O22" i="10"/>
  <c r="N22" i="10"/>
  <c r="P21" i="10"/>
  <c r="O21" i="10"/>
  <c r="N21" i="10"/>
  <c r="P20" i="10"/>
  <c r="O20" i="10"/>
  <c r="N20" i="10"/>
  <c r="P19" i="10"/>
  <c r="O19" i="10"/>
  <c r="N19" i="10"/>
  <c r="P18" i="10"/>
  <c r="O18" i="10"/>
  <c r="N18" i="10"/>
  <c r="P17" i="10"/>
  <c r="O17" i="10"/>
  <c r="N17" i="10"/>
  <c r="P16" i="10"/>
  <c r="O16" i="10"/>
  <c r="N16" i="10"/>
  <c r="P15" i="10"/>
  <c r="O15" i="10"/>
  <c r="N15" i="10"/>
  <c r="P14" i="10"/>
  <c r="O14" i="10"/>
  <c r="N14" i="10"/>
  <c r="P13" i="10"/>
  <c r="O13" i="10"/>
  <c r="N13" i="10"/>
  <c r="P12" i="10"/>
  <c r="O12" i="10"/>
  <c r="N12" i="10"/>
  <c r="P11" i="10"/>
  <c r="O11" i="10"/>
  <c r="N11" i="10"/>
  <c r="P10" i="10"/>
  <c r="O10" i="10"/>
  <c r="N10" i="10"/>
  <c r="P9" i="10"/>
  <c r="O9" i="10"/>
  <c r="N9" i="10"/>
  <c r="P8" i="10"/>
  <c r="O8" i="10"/>
  <c r="N8" i="10"/>
  <c r="P7" i="10"/>
  <c r="O7" i="10"/>
  <c r="N7" i="10"/>
  <c r="P6" i="10"/>
  <c r="O6" i="10"/>
  <c r="N6" i="10"/>
  <c r="P5" i="10"/>
  <c r="O5" i="10"/>
  <c r="N5" i="10"/>
  <c r="P4" i="10"/>
  <c r="O4" i="10"/>
  <c r="N4" i="10"/>
  <c r="P3" i="10"/>
  <c r="O3" i="10"/>
  <c r="N3" i="10"/>
  <c r="P60" i="10"/>
  <c r="O60" i="10"/>
  <c r="N60" i="10"/>
  <c r="P59" i="10"/>
  <c r="O59" i="10"/>
  <c r="N59" i="10"/>
  <c r="P58" i="10"/>
  <c r="O58" i="10"/>
  <c r="N58" i="10"/>
  <c r="P57" i="10"/>
  <c r="O57" i="10"/>
  <c r="N57" i="10"/>
  <c r="P56" i="10"/>
  <c r="O56" i="10"/>
  <c r="N56" i="10"/>
  <c r="P55" i="10"/>
  <c r="O55" i="10"/>
  <c r="N55" i="10"/>
  <c r="P54" i="10"/>
  <c r="O54" i="10"/>
  <c r="N54" i="10"/>
  <c r="P53" i="10"/>
  <c r="O53" i="10"/>
  <c r="N53" i="10"/>
  <c r="P52" i="10"/>
  <c r="O52" i="10"/>
  <c r="N52" i="10"/>
  <c r="P51" i="10"/>
  <c r="O51" i="10"/>
  <c r="N51" i="10"/>
  <c r="P50" i="10"/>
  <c r="O50" i="10"/>
  <c r="N50" i="10"/>
  <c r="P49" i="10"/>
  <c r="O49" i="10"/>
  <c r="N49" i="10"/>
  <c r="P48" i="10"/>
  <c r="O48" i="10"/>
  <c r="N48" i="10"/>
  <c r="P47" i="10"/>
  <c r="O47" i="10"/>
  <c r="N47" i="10"/>
  <c r="P46" i="10"/>
  <c r="O46" i="10"/>
  <c r="N46" i="10"/>
  <c r="P45" i="10"/>
  <c r="O45" i="10"/>
  <c r="N45" i="10"/>
  <c r="P44" i="10"/>
  <c r="O44" i="10"/>
  <c r="N44" i="10"/>
  <c r="P43" i="10"/>
  <c r="O43" i="10"/>
  <c r="N43" i="10"/>
  <c r="P42" i="10"/>
  <c r="O42" i="10"/>
  <c r="N42" i="10"/>
  <c r="P41" i="10"/>
  <c r="O41" i="10"/>
  <c r="N41" i="10"/>
  <c r="P40" i="10"/>
  <c r="O40" i="10"/>
  <c r="N40" i="10"/>
  <c r="P39" i="10"/>
  <c r="O39" i="10"/>
  <c r="N39" i="10"/>
  <c r="P38" i="10"/>
  <c r="O38" i="10"/>
  <c r="N38" i="10"/>
  <c r="P37" i="10"/>
  <c r="O37" i="10"/>
  <c r="N37" i="10"/>
  <c r="P36" i="10"/>
  <c r="O36" i="10"/>
  <c r="N36" i="10"/>
  <c r="P35" i="10"/>
  <c r="O35" i="10"/>
  <c r="N35" i="10"/>
  <c r="P34" i="10"/>
  <c r="O34" i="10"/>
  <c r="N34" i="10"/>
  <c r="P33" i="10"/>
  <c r="O33" i="10"/>
  <c r="N33" i="10"/>
  <c r="P32" i="10"/>
  <c r="O32" i="10"/>
  <c r="N32" i="10"/>
  <c r="P657" i="10"/>
  <c r="O657" i="10"/>
  <c r="N657" i="10"/>
  <c r="P656" i="10"/>
  <c r="O656" i="10"/>
  <c r="N656" i="10"/>
  <c r="P655" i="10"/>
  <c r="O655" i="10"/>
  <c r="N655" i="10"/>
  <c r="P654" i="10"/>
  <c r="O654" i="10"/>
  <c r="N654" i="10"/>
  <c r="P653" i="10"/>
  <c r="O653" i="10"/>
  <c r="N653" i="10"/>
  <c r="P652" i="10"/>
  <c r="O652" i="10"/>
  <c r="N652" i="10"/>
  <c r="P649" i="10"/>
  <c r="O649" i="10"/>
  <c r="N649" i="10"/>
  <c r="P648" i="10"/>
  <c r="O648" i="10"/>
  <c r="N648" i="10"/>
  <c r="P647" i="10"/>
  <c r="O647" i="10"/>
  <c r="N647" i="10"/>
  <c r="P646" i="10"/>
  <c r="O646" i="10"/>
  <c r="N646" i="10"/>
  <c r="P645" i="10"/>
  <c r="O645" i="10"/>
  <c r="N645" i="10"/>
  <c r="P644" i="10"/>
  <c r="O644" i="10"/>
  <c r="N644" i="10"/>
  <c r="P643" i="10"/>
  <c r="O643" i="10"/>
  <c r="N643" i="10"/>
  <c r="P642" i="10"/>
  <c r="O642" i="10"/>
  <c r="N642" i="10"/>
  <c r="P641" i="10"/>
  <c r="O641" i="10"/>
  <c r="N641" i="10"/>
  <c r="P638" i="10"/>
  <c r="O638" i="10"/>
  <c r="N638" i="10"/>
  <c r="P637" i="10"/>
  <c r="O637" i="10"/>
  <c r="N637" i="10"/>
  <c r="P636" i="10"/>
  <c r="O636" i="10"/>
  <c r="N636" i="10"/>
  <c r="P635" i="10"/>
  <c r="O635" i="10"/>
  <c r="N635" i="10"/>
  <c r="P634" i="10"/>
  <c r="O634" i="10"/>
  <c r="N634" i="10"/>
  <c r="P633" i="10"/>
  <c r="O633" i="10"/>
  <c r="N633" i="10"/>
  <c r="P632" i="10"/>
  <c r="O632" i="10"/>
  <c r="N632" i="10"/>
  <c r="P631" i="10"/>
  <c r="O631" i="10"/>
  <c r="N631" i="10"/>
  <c r="P630" i="10"/>
  <c r="O630" i="10"/>
  <c r="N630" i="10"/>
  <c r="P627" i="10"/>
  <c r="O627" i="10"/>
  <c r="N627" i="10"/>
  <c r="P626" i="10"/>
  <c r="O626" i="10"/>
  <c r="N626" i="10"/>
  <c r="P625" i="10"/>
  <c r="O625" i="10"/>
  <c r="N625" i="10"/>
  <c r="P624" i="10"/>
  <c r="O624" i="10"/>
  <c r="N624" i="10"/>
  <c r="P623" i="10"/>
  <c r="O623" i="10"/>
  <c r="N623" i="10"/>
  <c r="P622" i="10"/>
  <c r="O622" i="10"/>
  <c r="N622" i="10"/>
  <c r="P621" i="10"/>
  <c r="O621" i="10"/>
  <c r="N621" i="10"/>
  <c r="P620" i="10"/>
  <c r="O620" i="10"/>
  <c r="N620" i="10"/>
  <c r="P619" i="10"/>
  <c r="O619" i="10"/>
  <c r="N619" i="10"/>
  <c r="P617" i="10"/>
  <c r="O617" i="10"/>
  <c r="N617" i="10"/>
  <c r="P616" i="10"/>
  <c r="O616" i="10"/>
  <c r="N616" i="10"/>
  <c r="P615" i="10"/>
  <c r="O615" i="10"/>
  <c r="N615" i="10"/>
  <c r="P614" i="10"/>
  <c r="O614" i="10"/>
  <c r="N614" i="10"/>
  <c r="P613" i="10"/>
  <c r="O613" i="10"/>
  <c r="N613" i="10"/>
  <c r="P612" i="10"/>
  <c r="O612" i="10"/>
  <c r="N612" i="10"/>
  <c r="P611" i="10"/>
  <c r="O611" i="10"/>
  <c r="N611" i="10"/>
  <c r="P610" i="10"/>
  <c r="O610" i="10"/>
  <c r="N610" i="10"/>
  <c r="P609" i="10"/>
  <c r="O609" i="10"/>
  <c r="N609" i="10"/>
  <c r="P608" i="10"/>
  <c r="O608" i="10"/>
  <c r="N608" i="10"/>
  <c r="P607" i="10"/>
  <c r="O607" i="10"/>
  <c r="N607" i="10"/>
  <c r="P606" i="10"/>
  <c r="O606" i="10"/>
  <c r="N606" i="10"/>
  <c r="P605" i="10"/>
  <c r="O605" i="10"/>
  <c r="N605" i="10"/>
  <c r="P604" i="10"/>
  <c r="O604" i="10"/>
  <c r="N604" i="10"/>
  <c r="P603" i="10"/>
  <c r="O603" i="10"/>
  <c r="N603" i="10"/>
  <c r="P602" i="10"/>
  <c r="O602" i="10"/>
  <c r="N602" i="10"/>
  <c r="P601" i="10"/>
  <c r="O601" i="10"/>
  <c r="N601" i="10"/>
  <c r="P600" i="10"/>
  <c r="O600" i="10"/>
  <c r="N600" i="10"/>
  <c r="P599" i="10"/>
  <c r="O599" i="10"/>
  <c r="N599" i="10"/>
  <c r="P598" i="10"/>
  <c r="O598" i="10"/>
  <c r="N598" i="10"/>
  <c r="P597" i="10"/>
  <c r="O597" i="10"/>
  <c r="N597" i="10"/>
  <c r="P596" i="10"/>
  <c r="O596" i="10"/>
  <c r="N596" i="10"/>
  <c r="P595" i="10"/>
  <c r="O595" i="10"/>
  <c r="N595" i="10"/>
  <c r="P594" i="10"/>
  <c r="O594" i="10"/>
  <c r="N594" i="10"/>
  <c r="P593" i="10"/>
  <c r="O593" i="10"/>
  <c r="N593" i="10"/>
  <c r="P592" i="10"/>
  <c r="O592" i="10"/>
  <c r="N592" i="10"/>
  <c r="P591" i="10"/>
  <c r="O591" i="10"/>
  <c r="N591" i="10"/>
  <c r="P590" i="10"/>
  <c r="O590" i="10"/>
  <c r="N590" i="10"/>
  <c r="P589" i="10"/>
  <c r="O589" i="10"/>
  <c r="N589" i="10"/>
  <c r="P588" i="10"/>
  <c r="O588" i="10"/>
  <c r="N588" i="10"/>
  <c r="P587" i="10"/>
  <c r="O587" i="10"/>
  <c r="N587" i="10"/>
  <c r="P586" i="10"/>
  <c r="O586" i="10"/>
  <c r="N586" i="10"/>
  <c r="P585" i="10"/>
  <c r="O585" i="10"/>
  <c r="N585" i="10"/>
  <c r="P584" i="10"/>
  <c r="O584" i="10"/>
  <c r="N584" i="10"/>
  <c r="P583" i="10"/>
  <c r="O583" i="10"/>
  <c r="N583" i="10"/>
  <c r="P582" i="10"/>
  <c r="O582" i="10"/>
  <c r="N582" i="10"/>
  <c r="P581" i="10"/>
  <c r="O581" i="10"/>
  <c r="N581" i="10"/>
  <c r="P580" i="10"/>
  <c r="O580" i="10"/>
  <c r="N580" i="10"/>
  <c r="P579" i="10"/>
  <c r="O579" i="10"/>
  <c r="N579" i="10"/>
  <c r="P578" i="10"/>
  <c r="O578" i="10"/>
  <c r="N578" i="10"/>
  <c r="P577" i="10"/>
  <c r="O577" i="10"/>
  <c r="N577" i="10"/>
  <c r="P576" i="10"/>
  <c r="O576" i="10"/>
  <c r="N576" i="10"/>
  <c r="P575" i="10"/>
  <c r="O575" i="10"/>
  <c r="N575" i="10"/>
  <c r="P574" i="10"/>
  <c r="O574" i="10"/>
  <c r="N574" i="10"/>
  <c r="P573" i="10"/>
  <c r="O573" i="10"/>
  <c r="N573" i="10"/>
  <c r="P572" i="10"/>
  <c r="O572" i="10"/>
  <c r="N572" i="10"/>
  <c r="P571" i="10"/>
  <c r="O571" i="10"/>
  <c r="N571" i="10"/>
  <c r="P570" i="10"/>
  <c r="O570" i="10"/>
  <c r="N570" i="10"/>
  <c r="P569" i="10"/>
  <c r="O569" i="10"/>
  <c r="N569" i="10"/>
  <c r="P568" i="10"/>
  <c r="O568" i="10"/>
  <c r="N568" i="10"/>
  <c r="P567" i="10"/>
  <c r="O567" i="10"/>
  <c r="N567" i="10"/>
  <c r="P564" i="10"/>
  <c r="O564" i="10"/>
  <c r="N564" i="10"/>
  <c r="P563" i="10"/>
  <c r="O563" i="10"/>
  <c r="N563" i="10"/>
  <c r="P562" i="10"/>
  <c r="O562" i="10"/>
  <c r="N562" i="10"/>
  <c r="P561" i="10"/>
  <c r="O561" i="10"/>
  <c r="N561" i="10"/>
  <c r="P560" i="10"/>
  <c r="O560" i="10"/>
  <c r="N560" i="10"/>
  <c r="P559" i="10"/>
  <c r="O559" i="10"/>
  <c r="N559" i="10"/>
  <c r="P558" i="10"/>
  <c r="O558" i="10"/>
  <c r="N558" i="10"/>
  <c r="P557" i="10"/>
  <c r="O557" i="10"/>
  <c r="N557" i="10"/>
  <c r="P556" i="10"/>
  <c r="O556" i="10"/>
  <c r="N556" i="10"/>
  <c r="P553" i="10"/>
  <c r="O553" i="10"/>
  <c r="N553" i="10"/>
  <c r="P552" i="10"/>
  <c r="O552" i="10"/>
  <c r="N552" i="10"/>
  <c r="P551" i="10"/>
  <c r="O551" i="10"/>
  <c r="N551" i="10"/>
  <c r="P550" i="10"/>
  <c r="O550" i="10"/>
  <c r="N550" i="10"/>
  <c r="P549" i="10"/>
  <c r="O549" i="10"/>
  <c r="N549" i="10"/>
  <c r="P548" i="10"/>
  <c r="O548" i="10"/>
  <c r="N548" i="10"/>
  <c r="P547" i="10"/>
  <c r="O547" i="10"/>
  <c r="N547" i="10"/>
  <c r="P546" i="10"/>
  <c r="O546" i="10"/>
  <c r="N546" i="10"/>
  <c r="P545" i="10"/>
  <c r="O545" i="10"/>
  <c r="N545" i="10"/>
  <c r="P542" i="10"/>
  <c r="O542" i="10"/>
  <c r="P541" i="10"/>
  <c r="O541" i="10"/>
  <c r="N541" i="10"/>
  <c r="P540" i="10"/>
  <c r="O540" i="10"/>
  <c r="N540" i="10"/>
  <c r="P539" i="10"/>
  <c r="O539" i="10"/>
  <c r="N539" i="10"/>
  <c r="P538" i="10"/>
  <c r="O538" i="10"/>
  <c r="N538" i="10"/>
  <c r="P537" i="10"/>
  <c r="O537" i="10"/>
  <c r="N537" i="10"/>
  <c r="P536" i="10"/>
  <c r="O536" i="10"/>
  <c r="N536" i="10"/>
  <c r="P535" i="10"/>
  <c r="O535" i="10"/>
  <c r="N535" i="10"/>
  <c r="P534" i="10"/>
  <c r="O534" i="10"/>
  <c r="N534" i="10"/>
  <c r="P532" i="10"/>
  <c r="O532" i="10"/>
  <c r="N532" i="10"/>
  <c r="P531" i="10"/>
  <c r="O531" i="10"/>
  <c r="N531" i="10"/>
  <c r="P530" i="10"/>
  <c r="O530" i="10"/>
  <c r="N530" i="10"/>
  <c r="P529" i="10"/>
  <c r="O529" i="10"/>
  <c r="N529" i="10"/>
  <c r="P528" i="10"/>
  <c r="O528" i="10"/>
  <c r="N528" i="10"/>
  <c r="P527" i="10"/>
  <c r="O527" i="10"/>
  <c r="N527" i="10"/>
  <c r="P526" i="10"/>
  <c r="O526" i="10"/>
  <c r="N526" i="10"/>
  <c r="P525" i="10"/>
  <c r="O525" i="10"/>
  <c r="N525" i="10"/>
  <c r="P524" i="10"/>
  <c r="O524" i="10"/>
  <c r="N524" i="10"/>
  <c r="P523" i="10"/>
  <c r="O523" i="10"/>
  <c r="N523" i="10"/>
  <c r="P522" i="10"/>
  <c r="O522" i="10"/>
  <c r="N522" i="10"/>
  <c r="P521" i="10"/>
  <c r="O521" i="10"/>
  <c r="N521" i="10"/>
  <c r="P520" i="10"/>
  <c r="O520" i="10"/>
  <c r="N520" i="10"/>
  <c r="P519" i="10"/>
  <c r="O519" i="10"/>
  <c r="N519" i="10"/>
  <c r="P518" i="10"/>
  <c r="O518" i="10"/>
  <c r="N518" i="10"/>
  <c r="P517" i="10"/>
  <c r="O517" i="10"/>
  <c r="N517" i="10"/>
  <c r="P516" i="10"/>
  <c r="O516" i="10"/>
  <c r="N516" i="10"/>
  <c r="P515" i="10"/>
  <c r="O515" i="10"/>
  <c r="N515" i="10"/>
  <c r="P514" i="10"/>
  <c r="O514" i="10"/>
  <c r="N514" i="10"/>
  <c r="P513" i="10"/>
  <c r="O513" i="10"/>
  <c r="N513" i="10"/>
  <c r="P512" i="10"/>
  <c r="O512" i="10"/>
  <c r="N512" i="10"/>
  <c r="P511" i="10"/>
  <c r="O511" i="10"/>
  <c r="N511" i="10"/>
  <c r="P510" i="10"/>
  <c r="O510" i="10"/>
  <c r="N510" i="10"/>
  <c r="P509" i="10"/>
  <c r="O509" i="10"/>
  <c r="N509" i="10"/>
  <c r="P508" i="10"/>
  <c r="O508" i="10"/>
  <c r="N508" i="10"/>
  <c r="P507" i="10"/>
  <c r="O507" i="10"/>
  <c r="N507" i="10"/>
  <c r="P506" i="10"/>
  <c r="O506" i="10"/>
  <c r="N506" i="10"/>
  <c r="P505" i="10"/>
  <c r="O505" i="10"/>
  <c r="N505" i="10"/>
  <c r="P504" i="10"/>
  <c r="O504" i="10"/>
  <c r="N504" i="10"/>
  <c r="P503" i="10"/>
  <c r="O503" i="10"/>
  <c r="N503" i="10"/>
  <c r="P502" i="10"/>
  <c r="O502" i="10"/>
  <c r="N502" i="10"/>
  <c r="P501" i="10"/>
  <c r="O501" i="10"/>
  <c r="N501" i="10"/>
  <c r="P500" i="10"/>
  <c r="O500" i="10"/>
  <c r="N500" i="10"/>
  <c r="P499" i="10"/>
  <c r="O499" i="10"/>
  <c r="N499" i="10"/>
  <c r="P498" i="10"/>
  <c r="O498" i="10"/>
  <c r="N498" i="10"/>
  <c r="P497" i="10"/>
  <c r="O497" i="10"/>
  <c r="N497" i="10"/>
  <c r="P496" i="10"/>
  <c r="O496" i="10"/>
  <c r="N496" i="10"/>
  <c r="P495" i="10"/>
  <c r="O495" i="10"/>
  <c r="N495" i="10"/>
  <c r="P494" i="10"/>
  <c r="O494" i="10"/>
  <c r="N494" i="10"/>
  <c r="P493" i="10"/>
  <c r="O493" i="10"/>
  <c r="N493" i="10"/>
  <c r="P492" i="10"/>
  <c r="O492" i="10"/>
  <c r="N492" i="10"/>
  <c r="P491" i="10"/>
  <c r="O491" i="10"/>
  <c r="N491" i="10"/>
  <c r="P490" i="10"/>
  <c r="O490" i="10"/>
  <c r="N490" i="10"/>
  <c r="P489" i="10"/>
  <c r="O489" i="10"/>
  <c r="N489" i="10"/>
  <c r="P488" i="10"/>
  <c r="O488" i="10"/>
  <c r="N488" i="10"/>
  <c r="P487" i="10"/>
  <c r="O487" i="10"/>
  <c r="N487" i="10"/>
  <c r="P486" i="10"/>
  <c r="O486" i="10"/>
  <c r="N486" i="10"/>
  <c r="P485" i="10"/>
  <c r="O485" i="10"/>
  <c r="N485" i="10"/>
  <c r="P484" i="10"/>
  <c r="O484" i="10"/>
  <c r="N484" i="10"/>
  <c r="P483" i="10"/>
  <c r="O483" i="10"/>
  <c r="N483" i="10"/>
  <c r="P482" i="10"/>
  <c r="O482" i="10"/>
  <c r="N482" i="10"/>
  <c r="P108" i="2"/>
  <c r="O108" i="2"/>
  <c r="N108" i="2"/>
  <c r="O130" i="2"/>
  <c r="N130" i="2"/>
  <c r="P130" i="2"/>
  <c r="O125" i="2"/>
  <c r="N125" i="2"/>
  <c r="P125" i="2"/>
  <c r="O120" i="2"/>
  <c r="N120" i="2"/>
  <c r="P120" i="2"/>
  <c r="O115" i="2"/>
  <c r="N115" i="2"/>
  <c r="P115" i="2"/>
  <c r="O111" i="2"/>
  <c r="N111" i="2"/>
  <c r="P111" i="2"/>
  <c r="K108" i="2"/>
  <c r="J108" i="2"/>
  <c r="K125" i="2"/>
  <c r="K120" i="2"/>
  <c r="K115" i="2"/>
  <c r="K111" i="2"/>
  <c r="J125" i="2"/>
  <c r="J120" i="2"/>
  <c r="J115" i="2"/>
  <c r="J111" i="2"/>
  <c r="K130" i="2"/>
  <c r="J130" i="2"/>
  <c r="P107" i="2"/>
  <c r="O107" i="2"/>
  <c r="N107" i="2"/>
  <c r="K107" i="2"/>
  <c r="J107" i="2"/>
  <c r="AC179" i="2"/>
  <c r="AB179" i="2"/>
  <c r="AA179" i="2"/>
  <c r="AC178" i="2"/>
  <c r="AB178" i="2"/>
  <c r="AA178" i="2"/>
  <c r="AC177" i="2"/>
  <c r="AB177" i="2"/>
  <c r="AA177" i="2"/>
  <c r="AC176" i="2"/>
  <c r="AB176" i="2"/>
  <c r="AA176" i="2"/>
  <c r="AC175" i="2"/>
  <c r="AB175" i="2"/>
  <c r="AA175" i="2"/>
  <c r="AC174" i="2"/>
  <c r="AB174" i="2"/>
  <c r="AA174" i="2"/>
  <c r="AC173" i="2"/>
  <c r="AB173" i="2"/>
  <c r="AA173" i="2"/>
  <c r="AC172" i="2"/>
  <c r="AB172" i="2"/>
  <c r="AA172" i="2"/>
  <c r="AC171" i="2"/>
  <c r="AB171" i="2"/>
  <c r="AA171" i="2"/>
  <c r="AC170" i="2"/>
  <c r="AB170" i="2"/>
  <c r="AA170" i="2"/>
  <c r="AC169" i="2"/>
  <c r="AB169" i="2"/>
  <c r="AA169" i="2"/>
  <c r="X179" i="2"/>
  <c r="W179" i="2"/>
  <c r="X178" i="2"/>
  <c r="W178" i="2"/>
  <c r="X177" i="2"/>
  <c r="W177" i="2"/>
  <c r="X176" i="2"/>
  <c r="W176" i="2"/>
  <c r="X175" i="2"/>
  <c r="W175" i="2"/>
  <c r="X174" i="2"/>
  <c r="W174" i="2"/>
  <c r="X173" i="2"/>
  <c r="W173" i="2"/>
  <c r="X172" i="2"/>
  <c r="W172" i="2"/>
  <c r="X171" i="2"/>
  <c r="W171" i="2"/>
  <c r="X170" i="2"/>
  <c r="W170" i="2"/>
  <c r="X169" i="2"/>
  <c r="W169" i="2"/>
  <c r="O85" i="2"/>
  <c r="AB90" i="2"/>
  <c r="AA90" i="2"/>
  <c r="AC90" i="2"/>
  <c r="X90" i="2"/>
  <c r="W90" i="2"/>
  <c r="AB89" i="2"/>
  <c r="AA89" i="2"/>
  <c r="AC89" i="2"/>
  <c r="X89" i="2"/>
  <c r="W89" i="2"/>
  <c r="AB88" i="2"/>
  <c r="AA88" i="2"/>
  <c r="AC88" i="2"/>
  <c r="X88" i="2"/>
  <c r="W88" i="2"/>
  <c r="AB87" i="2"/>
  <c r="AA87" i="2"/>
  <c r="AC87" i="2"/>
  <c r="X87" i="2"/>
  <c r="W87" i="2"/>
  <c r="AB86" i="2"/>
  <c r="AA86" i="2"/>
  <c r="AC86" i="2"/>
  <c r="X86" i="2"/>
  <c r="W86" i="2"/>
  <c r="AB85" i="2"/>
  <c r="AA85" i="2"/>
  <c r="AC85" i="2"/>
  <c r="X85" i="2"/>
  <c r="W85" i="2"/>
  <c r="AB84" i="2"/>
  <c r="AA84" i="2"/>
  <c r="AC84" i="2"/>
  <c r="X84" i="2"/>
  <c r="W84" i="2"/>
  <c r="AB83" i="2"/>
  <c r="AA83" i="2"/>
  <c r="AC83" i="2"/>
  <c r="X83" i="2"/>
  <c r="W83" i="2"/>
  <c r="AB82" i="2"/>
  <c r="AA82" i="2"/>
  <c r="AC82" i="2"/>
  <c r="X82" i="2"/>
  <c r="W82" i="2"/>
  <c r="O84" i="2"/>
  <c r="O83" i="2"/>
  <c r="O82" i="2"/>
  <c r="N82" i="2"/>
  <c r="O81" i="2"/>
  <c r="O80" i="2"/>
  <c r="O79" i="2"/>
  <c r="O78" i="2"/>
  <c r="N85" i="2"/>
  <c r="P85" i="2"/>
  <c r="N84" i="2"/>
  <c r="P84" i="2"/>
  <c r="N83" i="2"/>
  <c r="P83" i="2"/>
  <c r="P82" i="2"/>
  <c r="N81" i="2"/>
  <c r="P81" i="2"/>
  <c r="N80" i="2"/>
  <c r="P80" i="2"/>
  <c r="N79" i="2"/>
  <c r="P79" i="2"/>
  <c r="N78" i="2"/>
  <c r="P78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O77" i="2"/>
  <c r="N77" i="2"/>
  <c r="P77" i="2"/>
  <c r="K77" i="2"/>
  <c r="J77" i="2"/>
  <c r="O69" i="2"/>
  <c r="N69" i="2"/>
  <c r="P69" i="2"/>
  <c r="K69" i="2"/>
  <c r="J69" i="2"/>
  <c r="O61" i="2"/>
  <c r="N61" i="2"/>
  <c r="P61" i="2"/>
  <c r="K61" i="2"/>
  <c r="J61" i="2"/>
  <c r="O53" i="2"/>
  <c r="N53" i="2"/>
  <c r="P53" i="2"/>
  <c r="K53" i="2"/>
  <c r="J53" i="2"/>
  <c r="O45" i="2"/>
  <c r="N45" i="2"/>
  <c r="P45" i="2"/>
  <c r="K45" i="2"/>
  <c r="J45" i="2"/>
  <c r="AC81" i="2"/>
  <c r="AB81" i="2"/>
  <c r="AA81" i="2"/>
  <c r="AC80" i="2"/>
  <c r="AB80" i="2"/>
  <c r="AA80" i="2"/>
  <c r="AC79" i="2"/>
  <c r="AB79" i="2"/>
  <c r="AA79" i="2"/>
  <c r="AC78" i="2"/>
  <c r="AB78" i="2"/>
  <c r="AA78" i="2"/>
  <c r="AC77" i="2"/>
  <c r="AB77" i="2"/>
  <c r="AA77" i="2"/>
  <c r="AC76" i="2"/>
  <c r="AB76" i="2"/>
  <c r="AA76" i="2"/>
  <c r="AC75" i="2"/>
  <c r="AB75" i="2"/>
  <c r="AA75" i="2"/>
  <c r="AC74" i="2"/>
  <c r="AB74" i="2"/>
  <c r="AA74" i="2"/>
  <c r="AC73" i="2"/>
  <c r="AB73" i="2"/>
  <c r="AA73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P76" i="2"/>
  <c r="O76" i="2"/>
  <c r="N76" i="2"/>
  <c r="P75" i="2"/>
  <c r="O75" i="2"/>
  <c r="N75" i="2"/>
  <c r="P74" i="2"/>
  <c r="O74" i="2"/>
  <c r="N74" i="2"/>
  <c r="P73" i="2"/>
  <c r="O73" i="2"/>
  <c r="N73" i="2"/>
  <c r="P72" i="2"/>
  <c r="O72" i="2"/>
  <c r="N72" i="2"/>
  <c r="P71" i="2"/>
  <c r="O71" i="2"/>
  <c r="N71" i="2"/>
  <c r="P70" i="2"/>
  <c r="O70" i="2"/>
  <c r="N70" i="2"/>
  <c r="P68" i="2"/>
  <c r="O68" i="2"/>
  <c r="N68" i="2"/>
  <c r="P67" i="2"/>
  <c r="O67" i="2"/>
  <c r="N67" i="2"/>
  <c r="P66" i="2"/>
  <c r="O66" i="2"/>
  <c r="N66" i="2"/>
  <c r="P65" i="2"/>
  <c r="O65" i="2"/>
  <c r="N65" i="2"/>
  <c r="P64" i="2"/>
  <c r="O64" i="2"/>
  <c r="N64" i="2"/>
  <c r="P63" i="2"/>
  <c r="O63" i="2"/>
  <c r="N63" i="2"/>
  <c r="P62" i="2"/>
  <c r="O62" i="2"/>
  <c r="N62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AA71" i="17"/>
  <c r="Q54" i="10" l="1"/>
  <c r="Q91" i="10"/>
  <c r="Q92" i="10"/>
  <c r="Q93" i="10"/>
  <c r="Q90" i="10"/>
  <c r="Q32" i="10"/>
  <c r="Q40" i="10"/>
  <c r="Q27" i="10"/>
  <c r="Q30" i="10"/>
  <c r="Q21" i="10"/>
  <c r="Q3" i="10"/>
  <c r="Q25" i="10"/>
  <c r="Q7" i="10"/>
  <c r="Q8" i="10"/>
  <c r="Q13" i="10"/>
  <c r="Q19" i="10"/>
  <c r="Q60" i="10"/>
  <c r="Q52" i="10"/>
  <c r="Q23" i="10"/>
  <c r="Q48" i="10"/>
  <c r="Q24" i="10"/>
  <c r="Q29" i="10"/>
  <c r="Q56" i="10"/>
  <c r="Q9" i="10"/>
  <c r="Q11" i="10"/>
  <c r="Q14" i="10"/>
  <c r="Q57" i="10"/>
  <c r="Q17" i="10"/>
  <c r="Q39" i="10"/>
  <c r="Q47" i="10"/>
  <c r="Q58" i="10"/>
  <c r="Q15" i="10"/>
  <c r="Q50" i="10"/>
  <c r="Q5" i="10"/>
  <c r="Q31" i="10"/>
  <c r="Q35" i="10"/>
  <c r="Q33" i="10"/>
  <c r="Q41" i="10"/>
  <c r="Q51" i="10"/>
  <c r="Q18" i="10"/>
  <c r="Q55" i="10"/>
  <c r="Q36" i="10"/>
  <c r="Q44" i="10"/>
  <c r="Q49" i="10"/>
  <c r="Q16" i="10"/>
  <c r="Q22" i="10"/>
  <c r="Q43" i="10"/>
  <c r="Q6" i="10"/>
  <c r="Q34" i="10"/>
  <c r="Q42" i="10"/>
  <c r="Q12" i="10"/>
  <c r="Q28" i="10"/>
  <c r="Q37" i="10"/>
  <c r="Q45" i="10"/>
  <c r="Q59" i="10"/>
  <c r="Q10" i="10"/>
  <c r="Q26" i="10"/>
  <c r="Q38" i="10"/>
  <c r="Q46" i="10"/>
  <c r="Q53" i="10"/>
  <c r="Q4" i="10"/>
  <c r="Q20" i="10"/>
  <c r="Q606" i="10"/>
  <c r="Q611" i="10"/>
  <c r="Q648" i="10"/>
  <c r="Q569" i="10"/>
  <c r="Q636" i="10"/>
  <c r="Q494" i="10"/>
  <c r="Q622" i="10"/>
  <c r="Q632" i="10"/>
  <c r="Q642" i="10"/>
  <c r="Q603" i="10"/>
  <c r="Q489" i="10"/>
  <c r="Q525" i="10"/>
  <c r="Q597" i="10"/>
  <c r="Q510" i="10"/>
  <c r="Q563" i="10"/>
  <c r="Q498" i="10"/>
  <c r="Q503" i="10"/>
  <c r="Q511" i="10"/>
  <c r="Q579" i="10"/>
  <c r="Q620" i="10"/>
  <c r="Q594" i="10"/>
  <c r="Q561" i="10"/>
  <c r="Q576" i="10"/>
  <c r="Q581" i="10"/>
  <c r="Q615" i="10"/>
  <c r="Q624" i="10"/>
  <c r="Q634" i="10"/>
  <c r="Q571" i="10"/>
  <c r="Q605" i="10"/>
  <c r="Q652" i="10"/>
  <c r="Q654" i="10"/>
  <c r="Q587" i="10"/>
  <c r="Q595" i="10"/>
  <c r="Q613" i="10"/>
  <c r="Q625" i="10"/>
  <c r="Q630" i="10"/>
  <c r="Q635" i="10"/>
  <c r="Q638" i="10"/>
  <c r="Q486" i="10"/>
  <c r="Q512" i="10"/>
  <c r="Q575" i="10"/>
  <c r="Q585" i="10"/>
  <c r="Q601" i="10"/>
  <c r="Q617" i="10"/>
  <c r="Q526" i="10"/>
  <c r="Q560" i="10"/>
  <c r="Q588" i="10"/>
  <c r="Q591" i="10"/>
  <c r="Q599" i="10"/>
  <c r="Q609" i="10"/>
  <c r="Q501" i="10"/>
  <c r="Q504" i="10"/>
  <c r="Q509" i="10"/>
  <c r="Q559" i="10"/>
  <c r="Q573" i="10"/>
  <c r="Q583" i="10"/>
  <c r="Q593" i="10"/>
  <c r="Q644" i="10"/>
  <c r="Q483" i="10"/>
  <c r="Q491" i="10"/>
  <c r="Q496" i="10"/>
  <c r="Q517" i="10"/>
  <c r="Q656" i="10"/>
  <c r="Q499" i="10"/>
  <c r="Q507" i="10"/>
  <c r="Q528" i="10"/>
  <c r="Q586" i="10"/>
  <c r="Q626" i="10"/>
  <c r="Q645" i="10"/>
  <c r="Q567" i="10"/>
  <c r="Q577" i="10"/>
  <c r="Q589" i="10"/>
  <c r="Q616" i="10"/>
  <c r="Q657" i="10"/>
  <c r="Q529" i="10"/>
  <c r="Q532" i="10"/>
  <c r="Q538" i="10"/>
  <c r="Q541" i="10"/>
  <c r="Q548" i="10"/>
  <c r="Q551" i="10"/>
  <c r="Q558" i="10"/>
  <c r="Q572" i="10"/>
  <c r="Q592" i="10"/>
  <c r="Q655" i="10"/>
  <c r="Q570" i="10"/>
  <c r="Q607" i="10"/>
  <c r="Q646" i="10"/>
  <c r="Q485" i="10"/>
  <c r="Q488" i="10"/>
  <c r="Q493" i="10"/>
  <c r="Q514" i="10"/>
  <c r="Q519" i="10"/>
  <c r="Q522" i="10"/>
  <c r="Q536" i="10"/>
  <c r="Q546" i="10"/>
  <c r="Q556" i="10"/>
  <c r="Q578" i="10"/>
  <c r="Q600" i="10"/>
  <c r="Q623" i="10"/>
  <c r="Q643" i="10"/>
  <c r="Q527" i="10"/>
  <c r="Q574" i="10"/>
  <c r="Q590" i="10"/>
  <c r="Q604" i="10"/>
  <c r="Q621" i="10"/>
  <c r="Q641" i="10"/>
  <c r="Q484" i="10"/>
  <c r="Q492" i="10"/>
  <c r="Q502" i="10"/>
  <c r="Q520" i="10"/>
  <c r="Q530" i="10"/>
  <c r="Q539" i="10"/>
  <c r="Q549" i="10"/>
  <c r="Q602" i="10"/>
  <c r="Q619" i="10"/>
  <c r="Q637" i="10"/>
  <c r="Q482" i="10"/>
  <c r="Q487" i="10"/>
  <c r="Q490" i="10"/>
  <c r="Q497" i="10"/>
  <c r="Q500" i="10"/>
  <c r="Q505" i="10"/>
  <c r="Q508" i="10"/>
  <c r="Q515" i="10"/>
  <c r="Q518" i="10"/>
  <c r="Q523" i="10"/>
  <c r="Q534" i="10"/>
  <c r="Q537" i="10"/>
  <c r="Q542" i="10"/>
  <c r="Q547" i="10"/>
  <c r="Q552" i="10"/>
  <c r="Q557" i="10"/>
  <c r="Q568" i="10"/>
  <c r="Q584" i="10"/>
  <c r="Q598" i="10"/>
  <c r="Q614" i="10"/>
  <c r="Q633" i="10"/>
  <c r="Q653" i="10"/>
  <c r="Q495" i="10"/>
  <c r="Q564" i="10"/>
  <c r="Q582" i="10"/>
  <c r="Q596" i="10"/>
  <c r="Q612" i="10"/>
  <c r="Q631" i="10"/>
  <c r="Q649" i="10"/>
  <c r="Q506" i="10"/>
  <c r="Q513" i="10"/>
  <c r="Q516" i="10"/>
  <c r="Q521" i="10"/>
  <c r="Q524" i="10"/>
  <c r="Q531" i="10"/>
  <c r="Q535" i="10"/>
  <c r="Q540" i="10"/>
  <c r="Q545" i="10"/>
  <c r="Q550" i="10"/>
  <c r="Q553" i="10"/>
  <c r="Q562" i="10"/>
  <c r="Q580" i="10"/>
  <c r="Q610" i="10"/>
  <c r="Q627" i="10"/>
  <c r="Q647" i="10"/>
  <c r="Q608" i="10"/>
  <c r="AO69" i="17"/>
  <c r="AU25" i="17"/>
  <c r="AS40" i="17"/>
  <c r="AU50" i="17"/>
  <c r="AQ50" i="17"/>
  <c r="AL20" i="17" l="1"/>
  <c r="AT21" i="17"/>
  <c r="AU33" i="17"/>
  <c r="AQ33" i="17"/>
  <c r="BM69" i="17"/>
  <c r="B17" i="17"/>
  <c r="AG22" i="17" s="1"/>
  <c r="AS24" i="17"/>
  <c r="AS23" i="17"/>
  <c r="AR19" i="17"/>
  <c r="AG23" i="17"/>
  <c r="AG21" i="17"/>
  <c r="AG20" i="17"/>
  <c r="X19" i="17" l="1"/>
  <c r="B9" i="17"/>
  <c r="T23" i="17" s="1"/>
  <c r="B8" i="17"/>
  <c r="B5" i="17"/>
  <c r="B25" i="17"/>
  <c r="AL47" i="17" s="1"/>
  <c r="B24" i="17"/>
  <c r="B26" i="17" s="1"/>
  <c r="B20" i="17"/>
  <c r="B7" i="17"/>
  <c r="T24" i="17" s="1"/>
  <c r="B6" i="17"/>
  <c r="T20" i="17" s="1"/>
  <c r="B4" i="17"/>
  <c r="K9" i="4"/>
  <c r="AB190" i="2"/>
  <c r="AB189" i="2"/>
  <c r="AA190" i="2"/>
  <c r="AC190" i="2"/>
  <c r="AA189" i="2"/>
  <c r="AC189" i="2"/>
  <c r="X190" i="2"/>
  <c r="X189" i="2"/>
  <c r="W190" i="2"/>
  <c r="W189" i="2"/>
  <c r="AB168" i="2"/>
  <c r="AB167" i="2"/>
  <c r="AA168" i="2"/>
  <c r="AC168" i="2"/>
  <c r="AA167" i="2"/>
  <c r="AC167" i="2"/>
  <c r="X168" i="2"/>
  <c r="W168" i="2"/>
  <c r="X167" i="2"/>
  <c r="W167" i="2"/>
  <c r="AB157" i="2"/>
  <c r="AA157" i="2"/>
  <c r="AC157" i="2"/>
  <c r="X157" i="2"/>
  <c r="W157" i="2"/>
  <c r="AW56" i="6"/>
  <c r="AY52" i="6"/>
  <c r="AY51" i="6"/>
  <c r="AV51" i="6"/>
  <c r="AY50" i="6"/>
  <c r="AV50" i="6"/>
  <c r="AR48" i="6"/>
  <c r="C20" i="6"/>
  <c r="C34" i="6"/>
  <c r="A34" i="6"/>
  <c r="Q56" i="6"/>
  <c r="S52" i="6"/>
  <c r="S51" i="6"/>
  <c r="P51" i="6"/>
  <c r="S50" i="6"/>
  <c r="P50" i="6"/>
  <c r="L48" i="6"/>
  <c r="A20" i="6"/>
  <c r="Q56" i="5"/>
  <c r="S52" i="5"/>
  <c r="S51" i="5"/>
  <c r="P51" i="5"/>
  <c r="S50" i="5"/>
  <c r="P50" i="5"/>
  <c r="L48" i="5"/>
  <c r="C20" i="5"/>
  <c r="A20" i="5"/>
  <c r="A14" i="5"/>
  <c r="Q56" i="3"/>
  <c r="S52" i="3"/>
  <c r="S51" i="3"/>
  <c r="P51" i="3"/>
  <c r="S50" i="3"/>
  <c r="P50" i="3"/>
  <c r="L48" i="3"/>
  <c r="C18" i="3"/>
  <c r="A18" i="3"/>
  <c r="A16" i="3"/>
  <c r="A14" i="3"/>
  <c r="A12" i="3"/>
  <c r="L48" i="1"/>
  <c r="Q56" i="1"/>
  <c r="S52" i="1"/>
  <c r="S51" i="1"/>
  <c r="P51" i="1"/>
  <c r="S50" i="1"/>
  <c r="P50" i="1"/>
  <c r="AG24" i="17" l="1"/>
  <c r="AR47" i="17"/>
  <c r="AU48" i="17"/>
  <c r="AQ48" i="17"/>
  <c r="T22" i="17"/>
  <c r="AG25" i="17"/>
  <c r="AG26" i="17"/>
  <c r="F32" i="17"/>
  <c r="G32" i="17" s="1"/>
  <c r="AM28" i="17"/>
  <c r="AU31" i="17"/>
  <c r="AQ31" i="17"/>
  <c r="T21" i="17"/>
  <c r="T26" i="17"/>
  <c r="B11" i="17"/>
  <c r="T25" i="17" s="1"/>
  <c r="B10" i="17"/>
  <c r="F20" i="17"/>
  <c r="F12" i="17"/>
  <c r="G12" i="17" s="1"/>
  <c r="F8" i="17"/>
  <c r="G8" i="17" s="1"/>
  <c r="F40" i="17"/>
  <c r="G40" i="17" s="1"/>
  <c r="F28" i="17"/>
  <c r="F16" i="17"/>
  <c r="G16" i="17" s="1"/>
  <c r="F4" i="17"/>
  <c r="F36" i="17"/>
  <c r="G36" i="17" s="1"/>
  <c r="F24" i="17"/>
  <c r="G24" i="17" s="1"/>
  <c r="F5" i="17"/>
  <c r="G5" i="17" s="1"/>
  <c r="F9" i="17"/>
  <c r="G9" i="17" s="1"/>
  <c r="F13" i="17"/>
  <c r="F17" i="17"/>
  <c r="G17" i="17" s="1"/>
  <c r="F21" i="17"/>
  <c r="F25" i="17"/>
  <c r="G25" i="17" s="1"/>
  <c r="F29" i="17"/>
  <c r="G29" i="17" s="1"/>
  <c r="F33" i="17"/>
  <c r="G33" i="17" s="1"/>
  <c r="F37" i="17"/>
  <c r="G37" i="17" s="1"/>
  <c r="F41" i="17"/>
  <c r="G41" i="17" s="1"/>
  <c r="F45" i="17"/>
  <c r="F49" i="17"/>
  <c r="G49" i="17" s="1"/>
  <c r="F53" i="17"/>
  <c r="F57" i="17"/>
  <c r="G57" i="17" s="1"/>
  <c r="F61" i="17"/>
  <c r="G61" i="17" s="1"/>
  <c r="F65" i="17"/>
  <c r="G65" i="17" s="1"/>
  <c r="F69" i="17"/>
  <c r="G69" i="17" s="1"/>
  <c r="F73" i="17"/>
  <c r="G73" i="17" s="1"/>
  <c r="F77" i="17"/>
  <c r="F81" i="17"/>
  <c r="G81" i="17" s="1"/>
  <c r="F85" i="17"/>
  <c r="F89" i="17"/>
  <c r="G89" i="17" s="1"/>
  <c r="F93" i="17"/>
  <c r="G93" i="17" s="1"/>
  <c r="F97" i="17"/>
  <c r="G97" i="17" s="1"/>
  <c r="F101" i="17"/>
  <c r="G101" i="17" s="1"/>
  <c r="F105" i="17"/>
  <c r="G105" i="17" s="1"/>
  <c r="F109" i="17"/>
  <c r="F113" i="17"/>
  <c r="G113" i="17" s="1"/>
  <c r="F117" i="17"/>
  <c r="F121" i="17"/>
  <c r="G121" i="17" s="1"/>
  <c r="F125" i="17"/>
  <c r="G125" i="17" s="1"/>
  <c r="F129" i="17"/>
  <c r="G129" i="17" s="1"/>
  <c r="F133" i="17"/>
  <c r="G133" i="17" s="1"/>
  <c r="F137" i="17"/>
  <c r="G137" i="17" s="1"/>
  <c r="F141" i="17"/>
  <c r="F6" i="17"/>
  <c r="F10" i="17"/>
  <c r="F14" i="17"/>
  <c r="F18" i="17"/>
  <c r="F22" i="17"/>
  <c r="G22" i="17" s="1"/>
  <c r="F26" i="17"/>
  <c r="F30" i="17"/>
  <c r="G30" i="17" s="1"/>
  <c r="F34" i="17"/>
  <c r="F38" i="17"/>
  <c r="F42" i="17"/>
  <c r="F46" i="17"/>
  <c r="F50" i="17"/>
  <c r="G50" i="17" s="1"/>
  <c r="F54" i="17"/>
  <c r="G54" i="17" s="1"/>
  <c r="F58" i="17"/>
  <c r="G58" i="17" s="1"/>
  <c r="F62" i="17"/>
  <c r="F66" i="17"/>
  <c r="F70" i="17"/>
  <c r="F74" i="17"/>
  <c r="F78" i="17"/>
  <c r="F82" i="17"/>
  <c r="G82" i="17" s="1"/>
  <c r="F86" i="17"/>
  <c r="G86" i="17" s="1"/>
  <c r="F90" i="17"/>
  <c r="G90" i="17" s="1"/>
  <c r="F94" i="17"/>
  <c r="G94" i="17" s="1"/>
  <c r="F98" i="17"/>
  <c r="F102" i="17"/>
  <c r="F106" i="17"/>
  <c r="F110" i="17"/>
  <c r="F114" i="17"/>
  <c r="G114" i="17" s="1"/>
  <c r="F118" i="17"/>
  <c r="G118" i="17" s="1"/>
  <c r="F122" i="17"/>
  <c r="G122" i="17" s="1"/>
  <c r="F126" i="17"/>
  <c r="F130" i="17"/>
  <c r="F134" i="17"/>
  <c r="F138" i="17"/>
  <c r="F142" i="17"/>
  <c r="F3" i="17"/>
  <c r="F7" i="17"/>
  <c r="F11" i="17"/>
  <c r="G11" i="17" s="1"/>
  <c r="F15" i="17"/>
  <c r="F19" i="17"/>
  <c r="G19" i="17" s="1"/>
  <c r="F23" i="17"/>
  <c r="F27" i="17"/>
  <c r="F31" i="17"/>
  <c r="F35" i="17"/>
  <c r="G35" i="17" s="1"/>
  <c r="F39" i="17"/>
  <c r="G39" i="17" s="1"/>
  <c r="F43" i="17"/>
  <c r="F47" i="17"/>
  <c r="G47" i="17" s="1"/>
  <c r="F51" i="17"/>
  <c r="F55" i="17"/>
  <c r="G55" i="17" s="1"/>
  <c r="F59" i="17"/>
  <c r="F63" i="17"/>
  <c r="F67" i="17"/>
  <c r="G67" i="17" s="1"/>
  <c r="F71" i="17"/>
  <c r="F75" i="17"/>
  <c r="G75" i="17" s="1"/>
  <c r="F79" i="17"/>
  <c r="F83" i="17"/>
  <c r="G83" i="17" s="1"/>
  <c r="F87" i="17"/>
  <c r="F91" i="17"/>
  <c r="G91" i="17" s="1"/>
  <c r="F95" i="17"/>
  <c r="F99" i="17"/>
  <c r="F103" i="17"/>
  <c r="G103" i="17" s="1"/>
  <c r="F107" i="17"/>
  <c r="F111" i="17"/>
  <c r="G111" i="17" s="1"/>
  <c r="F115" i="17"/>
  <c r="F119" i="17"/>
  <c r="G119" i="17" s="1"/>
  <c r="F123" i="17"/>
  <c r="F127" i="17"/>
  <c r="F131" i="17"/>
  <c r="G131" i="17" s="1"/>
  <c r="F135" i="17"/>
  <c r="F139" i="17"/>
  <c r="G139" i="17" s="1"/>
  <c r="F143" i="17"/>
  <c r="F44" i="17"/>
  <c r="G44" i="17" s="1"/>
  <c r="F48" i="17"/>
  <c r="G48" i="17" s="1"/>
  <c r="F52" i="17"/>
  <c r="G52" i="17" s="1"/>
  <c r="F56" i="17"/>
  <c r="G56" i="17" s="1"/>
  <c r="F60" i="17"/>
  <c r="F64" i="17"/>
  <c r="G64" i="17" s="1"/>
  <c r="F68" i="17"/>
  <c r="F72" i="17"/>
  <c r="G72" i="17" s="1"/>
  <c r="F76" i="17"/>
  <c r="F80" i="17"/>
  <c r="G80" i="17" s="1"/>
  <c r="F84" i="17"/>
  <c r="F88" i="17"/>
  <c r="G88" i="17" s="1"/>
  <c r="F92" i="17"/>
  <c r="G92" i="17" s="1"/>
  <c r="F96" i="17"/>
  <c r="G96" i="17" s="1"/>
  <c r="F100" i="17"/>
  <c r="F104" i="17"/>
  <c r="G104" i="17" s="1"/>
  <c r="F108" i="17"/>
  <c r="G108" i="17" s="1"/>
  <c r="F112" i="17"/>
  <c r="G112" i="17" s="1"/>
  <c r="F116" i="17"/>
  <c r="G116" i="17" s="1"/>
  <c r="F120" i="17"/>
  <c r="G120" i="17" s="1"/>
  <c r="F124" i="17"/>
  <c r="F128" i="17"/>
  <c r="G128" i="17" s="1"/>
  <c r="F132" i="17"/>
  <c r="F136" i="17"/>
  <c r="G136" i="17" s="1"/>
  <c r="F140" i="17"/>
  <c r="AC188" i="2"/>
  <c r="AB188" i="2"/>
  <c r="AY54" i="6" s="1"/>
  <c r="AA188" i="2"/>
  <c r="X188" i="2"/>
  <c r="S53" i="5" s="1"/>
  <c r="W188" i="2"/>
  <c r="AC187" i="2"/>
  <c r="AB187" i="2"/>
  <c r="AA187" i="2"/>
  <c r="X187" i="2"/>
  <c r="W187" i="2"/>
  <c r="AC186" i="2"/>
  <c r="AB186" i="2"/>
  <c r="AA186" i="2"/>
  <c r="X186" i="2"/>
  <c r="W186" i="2"/>
  <c r="AC185" i="2"/>
  <c r="AB185" i="2"/>
  <c r="AA185" i="2"/>
  <c r="X185" i="2"/>
  <c r="W185" i="2"/>
  <c r="AC184" i="2"/>
  <c r="AB184" i="2"/>
  <c r="AA184" i="2"/>
  <c r="X184" i="2"/>
  <c r="W184" i="2"/>
  <c r="AC183" i="2"/>
  <c r="AB183" i="2"/>
  <c r="AA183" i="2"/>
  <c r="X183" i="2"/>
  <c r="W183" i="2"/>
  <c r="AC182" i="2"/>
  <c r="AB182" i="2"/>
  <c r="AA182" i="2"/>
  <c r="X182" i="2"/>
  <c r="W182" i="2"/>
  <c r="AC181" i="2"/>
  <c r="AB181" i="2"/>
  <c r="AA181" i="2"/>
  <c r="X181" i="2"/>
  <c r="W181" i="2"/>
  <c r="AC180" i="2"/>
  <c r="AB180" i="2"/>
  <c r="AA180" i="2"/>
  <c r="X180" i="2"/>
  <c r="W180" i="2"/>
  <c r="AC166" i="2"/>
  <c r="AB166" i="2"/>
  <c r="AA166" i="2"/>
  <c r="X166" i="2"/>
  <c r="W166" i="2"/>
  <c r="AC165" i="2"/>
  <c r="AB165" i="2"/>
  <c r="AA165" i="2"/>
  <c r="X165" i="2"/>
  <c r="W165" i="2"/>
  <c r="AC164" i="2"/>
  <c r="AB164" i="2"/>
  <c r="AA164" i="2"/>
  <c r="X164" i="2"/>
  <c r="W164" i="2"/>
  <c r="AC163" i="2"/>
  <c r="AB163" i="2"/>
  <c r="AA163" i="2"/>
  <c r="X163" i="2"/>
  <c r="W163" i="2"/>
  <c r="AC162" i="2"/>
  <c r="AB162" i="2"/>
  <c r="AA162" i="2"/>
  <c r="X162" i="2"/>
  <c r="W162" i="2"/>
  <c r="AC161" i="2"/>
  <c r="AB161" i="2"/>
  <c r="AA161" i="2"/>
  <c r="X161" i="2"/>
  <c r="W161" i="2"/>
  <c r="AC160" i="2"/>
  <c r="AB160" i="2"/>
  <c r="AA160" i="2"/>
  <c r="X160" i="2"/>
  <c r="W160" i="2"/>
  <c r="AC159" i="2"/>
  <c r="AB159" i="2"/>
  <c r="AA159" i="2"/>
  <c r="X159" i="2"/>
  <c r="W159" i="2"/>
  <c r="AC158" i="2"/>
  <c r="AB158" i="2"/>
  <c r="AA158" i="2"/>
  <c r="X158" i="2"/>
  <c r="W158" i="2"/>
  <c r="AC156" i="2"/>
  <c r="Q55" i="6" s="1"/>
  <c r="AB156" i="2"/>
  <c r="S54" i="6" s="1"/>
  <c r="AA156" i="2"/>
  <c r="X156" i="2"/>
  <c r="S53" i="6" s="1"/>
  <c r="W156" i="2"/>
  <c r="AC155" i="2"/>
  <c r="AB155" i="2"/>
  <c r="AA155" i="2"/>
  <c r="X155" i="2"/>
  <c r="W155" i="2"/>
  <c r="AC154" i="2"/>
  <c r="AB154" i="2"/>
  <c r="AA154" i="2"/>
  <c r="X154" i="2"/>
  <c r="W154" i="2"/>
  <c r="AC153" i="2"/>
  <c r="AB153" i="2"/>
  <c r="AA153" i="2"/>
  <c r="X153" i="2"/>
  <c r="W153" i="2"/>
  <c r="AC152" i="2"/>
  <c r="AB152" i="2"/>
  <c r="AA152" i="2"/>
  <c r="X152" i="2"/>
  <c r="W152" i="2"/>
  <c r="AC151" i="2"/>
  <c r="AB151" i="2"/>
  <c r="AA151" i="2"/>
  <c r="X151" i="2"/>
  <c r="W151" i="2"/>
  <c r="AC150" i="2"/>
  <c r="AB150" i="2"/>
  <c r="AA150" i="2"/>
  <c r="X150" i="2"/>
  <c r="W150" i="2"/>
  <c r="AC149" i="2"/>
  <c r="AB149" i="2"/>
  <c r="AA149" i="2"/>
  <c r="X149" i="2"/>
  <c r="W149" i="2"/>
  <c r="AC148" i="2"/>
  <c r="AB148" i="2"/>
  <c r="AA148" i="2"/>
  <c r="X148" i="2"/>
  <c r="W148" i="2"/>
  <c r="AC147" i="2"/>
  <c r="Q55" i="3" s="1"/>
  <c r="AB147" i="2"/>
  <c r="S54" i="3" s="1"/>
  <c r="AA147" i="2"/>
  <c r="X147" i="2"/>
  <c r="S53" i="3" s="1"/>
  <c r="W147" i="2"/>
  <c r="AC146" i="2"/>
  <c r="AB146" i="2"/>
  <c r="AA146" i="2"/>
  <c r="X146" i="2"/>
  <c r="W146" i="2"/>
  <c r="AC145" i="2"/>
  <c r="AB145" i="2"/>
  <c r="AA145" i="2"/>
  <c r="X145" i="2"/>
  <c r="W145" i="2"/>
  <c r="AC144" i="2"/>
  <c r="AB144" i="2"/>
  <c r="AA144" i="2"/>
  <c r="X144" i="2"/>
  <c r="W144" i="2"/>
  <c r="AC143" i="2"/>
  <c r="AB143" i="2"/>
  <c r="AA143" i="2"/>
  <c r="X143" i="2"/>
  <c r="W143" i="2"/>
  <c r="AC142" i="2"/>
  <c r="AB142" i="2"/>
  <c r="AA142" i="2"/>
  <c r="X142" i="2"/>
  <c r="W142" i="2"/>
  <c r="AC141" i="2"/>
  <c r="AB141" i="2"/>
  <c r="AA141" i="2"/>
  <c r="X141" i="2"/>
  <c r="W141" i="2"/>
  <c r="AC140" i="2"/>
  <c r="AB140" i="2"/>
  <c r="AA140" i="2"/>
  <c r="X140" i="2"/>
  <c r="W140" i="2"/>
  <c r="AC139" i="2"/>
  <c r="AB139" i="2"/>
  <c r="AA139" i="2"/>
  <c r="X139" i="2"/>
  <c r="W139" i="2"/>
  <c r="AC138" i="2"/>
  <c r="AB138" i="2"/>
  <c r="AA138" i="2"/>
  <c r="X138" i="2"/>
  <c r="W138" i="2"/>
  <c r="AC137" i="2"/>
  <c r="AB137" i="2"/>
  <c r="AA137" i="2"/>
  <c r="X137" i="2"/>
  <c r="W137" i="2"/>
  <c r="AC136" i="2"/>
  <c r="AB136" i="2"/>
  <c r="AA136" i="2"/>
  <c r="X136" i="2"/>
  <c r="W136" i="2"/>
  <c r="AC135" i="2"/>
  <c r="AB135" i="2"/>
  <c r="AA135" i="2"/>
  <c r="X135" i="2"/>
  <c r="W135" i="2"/>
  <c r="AC134" i="2"/>
  <c r="AB134" i="2"/>
  <c r="AA134" i="2"/>
  <c r="X134" i="2"/>
  <c r="W134" i="2"/>
  <c r="AC133" i="2"/>
  <c r="AB133" i="2"/>
  <c r="AA133" i="2"/>
  <c r="X133" i="2"/>
  <c r="W133" i="2"/>
  <c r="AC132" i="2"/>
  <c r="AB132" i="2"/>
  <c r="AA132" i="2"/>
  <c r="X132" i="2"/>
  <c r="W132" i="2"/>
  <c r="AC131" i="2"/>
  <c r="AB131" i="2"/>
  <c r="AA131" i="2"/>
  <c r="X131" i="2"/>
  <c r="W131" i="2"/>
  <c r="AC130" i="2"/>
  <c r="AB130" i="2"/>
  <c r="AA130" i="2"/>
  <c r="X130" i="2"/>
  <c r="W130" i="2"/>
  <c r="AC129" i="2"/>
  <c r="AB129" i="2"/>
  <c r="AA129" i="2"/>
  <c r="X129" i="2"/>
  <c r="W129" i="2"/>
  <c r="AC128" i="2"/>
  <c r="AB128" i="2"/>
  <c r="AA128" i="2"/>
  <c r="X128" i="2"/>
  <c r="W128" i="2"/>
  <c r="AC127" i="2"/>
  <c r="AB127" i="2"/>
  <c r="AA127" i="2"/>
  <c r="X127" i="2"/>
  <c r="W127" i="2"/>
  <c r="AC126" i="2"/>
  <c r="AB126" i="2"/>
  <c r="AA126" i="2"/>
  <c r="X126" i="2"/>
  <c r="W126" i="2"/>
  <c r="AC125" i="2"/>
  <c r="AB125" i="2"/>
  <c r="AA125" i="2"/>
  <c r="X125" i="2"/>
  <c r="W125" i="2"/>
  <c r="AC124" i="2"/>
  <c r="AB124" i="2"/>
  <c r="AA124" i="2"/>
  <c r="X124" i="2"/>
  <c r="W124" i="2"/>
  <c r="AC123" i="2"/>
  <c r="AB123" i="2"/>
  <c r="AA123" i="2"/>
  <c r="X123" i="2"/>
  <c r="W123" i="2"/>
  <c r="AC122" i="2"/>
  <c r="AB122" i="2"/>
  <c r="AA122" i="2"/>
  <c r="X122" i="2"/>
  <c r="W122" i="2"/>
  <c r="AC121" i="2"/>
  <c r="AB121" i="2"/>
  <c r="AA121" i="2"/>
  <c r="X121" i="2"/>
  <c r="W121" i="2"/>
  <c r="AC120" i="2"/>
  <c r="AB120" i="2"/>
  <c r="AA120" i="2"/>
  <c r="X120" i="2"/>
  <c r="W120" i="2"/>
  <c r="AC119" i="2"/>
  <c r="AB119" i="2"/>
  <c r="AA119" i="2"/>
  <c r="X119" i="2"/>
  <c r="W119" i="2"/>
  <c r="AC118" i="2"/>
  <c r="AB118" i="2"/>
  <c r="AA118" i="2"/>
  <c r="X118" i="2"/>
  <c r="W118" i="2"/>
  <c r="AC117" i="2"/>
  <c r="AB117" i="2"/>
  <c r="AA117" i="2"/>
  <c r="X117" i="2"/>
  <c r="W117" i="2"/>
  <c r="AC116" i="2"/>
  <c r="AB116" i="2"/>
  <c r="AA116" i="2"/>
  <c r="X116" i="2"/>
  <c r="W116" i="2"/>
  <c r="AC115" i="2"/>
  <c r="AB115" i="2"/>
  <c r="AA115" i="2"/>
  <c r="X115" i="2"/>
  <c r="W115" i="2"/>
  <c r="AC114" i="2"/>
  <c r="AB114" i="2"/>
  <c r="AA114" i="2"/>
  <c r="X114" i="2"/>
  <c r="W114" i="2"/>
  <c r="AC113" i="2"/>
  <c r="AB113" i="2"/>
  <c r="AA113" i="2"/>
  <c r="X113" i="2"/>
  <c r="W113" i="2"/>
  <c r="AC112" i="2"/>
  <c r="AB112" i="2"/>
  <c r="AA112" i="2"/>
  <c r="X112" i="2"/>
  <c r="W112" i="2"/>
  <c r="AC111" i="2"/>
  <c r="AB111" i="2"/>
  <c r="AA111" i="2"/>
  <c r="X111" i="2"/>
  <c r="W111" i="2"/>
  <c r="AC110" i="2"/>
  <c r="AB110" i="2"/>
  <c r="AA110" i="2"/>
  <c r="X110" i="2"/>
  <c r="W110" i="2"/>
  <c r="AC109" i="2"/>
  <c r="AB109" i="2"/>
  <c r="AA109" i="2"/>
  <c r="X109" i="2"/>
  <c r="W109" i="2"/>
  <c r="AC108" i="2"/>
  <c r="AB108" i="2"/>
  <c r="AA108" i="2"/>
  <c r="X108" i="2"/>
  <c r="W108" i="2"/>
  <c r="AC107" i="2"/>
  <c r="AB107" i="2"/>
  <c r="AA107" i="2"/>
  <c r="X107" i="2"/>
  <c r="W107" i="2"/>
  <c r="AC106" i="2"/>
  <c r="AB106" i="2"/>
  <c r="AA106" i="2"/>
  <c r="X106" i="2"/>
  <c r="W106" i="2"/>
  <c r="C18" i="1"/>
  <c r="A18" i="1"/>
  <c r="A16" i="1"/>
  <c r="A14" i="1"/>
  <c r="A12" i="1"/>
  <c r="AY53" i="6" l="1"/>
  <c r="S54" i="5"/>
  <c r="AW55" i="6"/>
  <c r="Q55" i="5"/>
  <c r="AJ54" i="17"/>
  <c r="AJ53" i="17"/>
  <c r="D135" i="17"/>
  <c r="E135" i="17" s="1"/>
  <c r="D3" i="17"/>
  <c r="BD65" i="17"/>
  <c r="BD64" i="17"/>
  <c r="G3" i="17"/>
  <c r="AH35" i="17"/>
  <c r="BD40" i="17" s="1"/>
  <c r="B12" i="17"/>
  <c r="D72" i="17"/>
  <c r="E72" i="17" s="1"/>
  <c r="D18" i="17"/>
  <c r="E18" i="17" s="1"/>
  <c r="D4" i="17"/>
  <c r="E4" i="17" s="1"/>
  <c r="H128" i="17"/>
  <c r="J128" i="17" s="1"/>
  <c r="H96" i="17"/>
  <c r="I96" i="17" s="1"/>
  <c r="H64" i="17"/>
  <c r="I64" i="17" s="1"/>
  <c r="D20" i="17"/>
  <c r="E20" i="17" s="1"/>
  <c r="D40" i="17"/>
  <c r="E40" i="17" s="1"/>
  <c r="D36" i="17"/>
  <c r="E36" i="17" s="1"/>
  <c r="H120" i="17"/>
  <c r="J120" i="17" s="1"/>
  <c r="H88" i="17"/>
  <c r="I88" i="17" s="1"/>
  <c r="H56" i="17"/>
  <c r="I56" i="17" s="1"/>
  <c r="H121" i="17"/>
  <c r="J121" i="17" s="1"/>
  <c r="H89" i="17"/>
  <c r="I89" i="17" s="1"/>
  <c r="H57" i="17"/>
  <c r="I57" i="17" s="1"/>
  <c r="H25" i="17"/>
  <c r="I25" i="17" s="1"/>
  <c r="D56" i="17"/>
  <c r="E56" i="17" s="1"/>
  <c r="D30" i="17"/>
  <c r="E30" i="17" s="1"/>
  <c r="D105" i="17"/>
  <c r="E105" i="17" s="1"/>
  <c r="D129" i="17"/>
  <c r="E129" i="17" s="1"/>
  <c r="D61" i="17"/>
  <c r="E61" i="17" s="1"/>
  <c r="D98" i="17"/>
  <c r="E98" i="17" s="1"/>
  <c r="D99" i="17"/>
  <c r="E99" i="17" s="1"/>
  <c r="H80" i="17"/>
  <c r="I80" i="17" s="1"/>
  <c r="H113" i="17"/>
  <c r="J113" i="17" s="1"/>
  <c r="H49" i="17"/>
  <c r="I49" i="17" s="1"/>
  <c r="D96" i="17"/>
  <c r="E96" i="17" s="1"/>
  <c r="D60" i="17"/>
  <c r="E60" i="17" s="1"/>
  <c r="D104" i="17"/>
  <c r="E104" i="17" s="1"/>
  <c r="D70" i="17"/>
  <c r="E70" i="17" s="1"/>
  <c r="D49" i="17"/>
  <c r="E49" i="17" s="1"/>
  <c r="D11" i="17"/>
  <c r="E11" i="17" s="1"/>
  <c r="D5" i="17"/>
  <c r="E5" i="17" s="1"/>
  <c r="D31" i="17"/>
  <c r="E31" i="17" s="1"/>
  <c r="H112" i="17"/>
  <c r="J112" i="17" s="1"/>
  <c r="H48" i="17"/>
  <c r="I48" i="17" s="1"/>
  <c r="H81" i="17"/>
  <c r="I81" i="17" s="1"/>
  <c r="H17" i="17"/>
  <c r="I17" i="17" s="1"/>
  <c r="D106" i="17"/>
  <c r="E106" i="17" s="1"/>
  <c r="D54" i="17"/>
  <c r="E54" i="17" s="1"/>
  <c r="H40" i="17"/>
  <c r="J40" i="17" s="1"/>
  <c r="D122" i="17"/>
  <c r="E122" i="17" s="1"/>
  <c r="D140" i="17"/>
  <c r="E140" i="17" s="1"/>
  <c r="D65" i="17"/>
  <c r="E65" i="17" s="1"/>
  <c r="D35" i="17"/>
  <c r="E35" i="17" s="1"/>
  <c r="D21" i="17"/>
  <c r="E21" i="17" s="1"/>
  <c r="D39" i="17"/>
  <c r="E39" i="17" s="1"/>
  <c r="D95" i="17"/>
  <c r="E95" i="17" s="1"/>
  <c r="D85" i="17"/>
  <c r="E85" i="17" s="1"/>
  <c r="D119" i="17"/>
  <c r="E119" i="17" s="1"/>
  <c r="D46" i="17"/>
  <c r="E46" i="17" s="1"/>
  <c r="H136" i="17"/>
  <c r="J136" i="17" s="1"/>
  <c r="H104" i="17"/>
  <c r="I104" i="17" s="1"/>
  <c r="K104" i="17" s="1"/>
  <c r="H72" i="17"/>
  <c r="I72" i="17" s="1"/>
  <c r="H137" i="17"/>
  <c r="I137" i="17" s="1"/>
  <c r="H105" i="17"/>
  <c r="I105" i="17" s="1"/>
  <c r="H73" i="17"/>
  <c r="I73" i="17" s="1"/>
  <c r="H41" i="17"/>
  <c r="I41" i="17" s="1"/>
  <c r="H9" i="17"/>
  <c r="I9" i="17" s="1"/>
  <c r="H8" i="17"/>
  <c r="I8" i="17" s="1"/>
  <c r="D136" i="17"/>
  <c r="E136" i="17" s="1"/>
  <c r="D26" i="17"/>
  <c r="E26" i="17" s="1"/>
  <c r="D75" i="17"/>
  <c r="E75" i="17" s="1"/>
  <c r="D68" i="17"/>
  <c r="E68" i="17" s="1"/>
  <c r="D109" i="17"/>
  <c r="E109" i="17" s="1"/>
  <c r="D118" i="17"/>
  <c r="E118" i="17" s="1"/>
  <c r="D94" i="17"/>
  <c r="E94" i="17" s="1"/>
  <c r="D33" i="17"/>
  <c r="E33" i="17" s="1"/>
  <c r="D34" i="17"/>
  <c r="E34" i="17" s="1"/>
  <c r="D83" i="17"/>
  <c r="E83" i="17" s="1"/>
  <c r="D100" i="17"/>
  <c r="E100" i="17" s="1"/>
  <c r="D117" i="17"/>
  <c r="E117" i="17" s="1"/>
  <c r="D15" i="17"/>
  <c r="E15" i="17" s="1"/>
  <c r="H16" i="17"/>
  <c r="J16" i="17" s="1"/>
  <c r="H129" i="17"/>
  <c r="I129" i="17" s="1"/>
  <c r="H97" i="17"/>
  <c r="I97" i="17" s="1"/>
  <c r="H65" i="17"/>
  <c r="I65" i="17" s="1"/>
  <c r="H33" i="17"/>
  <c r="I33" i="17" s="1"/>
  <c r="H24" i="17"/>
  <c r="J24" i="17" s="1"/>
  <c r="D41" i="17"/>
  <c r="E41" i="17" s="1"/>
  <c r="D82" i="17"/>
  <c r="E82" i="17" s="1"/>
  <c r="D91" i="17"/>
  <c r="E91" i="17" s="1"/>
  <c r="D132" i="17"/>
  <c r="E132" i="17" s="1"/>
  <c r="D125" i="17"/>
  <c r="E125" i="17" s="1"/>
  <c r="D23" i="17"/>
  <c r="E23" i="17" s="1"/>
  <c r="J89" i="17"/>
  <c r="H32" i="17"/>
  <c r="D143" i="17"/>
  <c r="E143" i="17" s="1"/>
  <c r="G127" i="17"/>
  <c r="H127" i="17" s="1"/>
  <c r="G142" i="17"/>
  <c r="H142" i="17" s="1"/>
  <c r="G31" i="17"/>
  <c r="H31" i="17" s="1"/>
  <c r="G132" i="17"/>
  <c r="H132" i="17" s="1"/>
  <c r="G100" i="17"/>
  <c r="H100" i="17" s="1"/>
  <c r="G95" i="17"/>
  <c r="H95" i="17" s="1"/>
  <c r="G110" i="17"/>
  <c r="H110" i="17" s="1"/>
  <c r="G46" i="17"/>
  <c r="H46" i="17" s="1"/>
  <c r="G20" i="17"/>
  <c r="H20" i="17" s="1"/>
  <c r="G63" i="17"/>
  <c r="H63" i="17" s="1"/>
  <c r="G78" i="17"/>
  <c r="H78" i="17" s="1"/>
  <c r="G4" i="17"/>
  <c r="H4" i="17" s="1"/>
  <c r="G14" i="17"/>
  <c r="H14" i="17" s="1"/>
  <c r="H116" i="17"/>
  <c r="H52" i="17"/>
  <c r="H91" i="17"/>
  <c r="D8" i="17"/>
  <c r="E8" i="17" s="1"/>
  <c r="D112" i="17"/>
  <c r="E112" i="17" s="1"/>
  <c r="D89" i="17"/>
  <c r="E89" i="17" s="1"/>
  <c r="D42" i="17"/>
  <c r="E42" i="17" s="1"/>
  <c r="D19" i="17"/>
  <c r="E19" i="17" s="1"/>
  <c r="D115" i="17"/>
  <c r="E115" i="17" s="1"/>
  <c r="D76" i="17"/>
  <c r="E76" i="17" s="1"/>
  <c r="D45" i="17"/>
  <c r="E45" i="17" s="1"/>
  <c r="D133" i="17"/>
  <c r="E133" i="17" s="1"/>
  <c r="D102" i="17"/>
  <c r="E102" i="17" s="1"/>
  <c r="D55" i="17"/>
  <c r="E55" i="17" s="1"/>
  <c r="G138" i="17"/>
  <c r="H138" i="17" s="1"/>
  <c r="H119" i="17"/>
  <c r="H55" i="17"/>
  <c r="D32" i="17"/>
  <c r="E32" i="17" s="1"/>
  <c r="D120" i="17"/>
  <c r="E120" i="17" s="1"/>
  <c r="D97" i="17"/>
  <c r="E97" i="17" s="1"/>
  <c r="D58" i="17"/>
  <c r="E58" i="17" s="1"/>
  <c r="D27" i="17"/>
  <c r="E27" i="17" s="1"/>
  <c r="D139" i="17"/>
  <c r="E139" i="17" s="1"/>
  <c r="D84" i="17"/>
  <c r="E84" i="17" s="1"/>
  <c r="D53" i="17"/>
  <c r="E53" i="17" s="1"/>
  <c r="D6" i="17"/>
  <c r="E6" i="17" s="1"/>
  <c r="D110" i="17"/>
  <c r="E110" i="17" s="1"/>
  <c r="D79" i="17"/>
  <c r="E79" i="17" s="1"/>
  <c r="G117" i="17"/>
  <c r="H117" i="17" s="1"/>
  <c r="G53" i="17"/>
  <c r="H53" i="17" s="1"/>
  <c r="G106" i="17"/>
  <c r="H106" i="17" s="1"/>
  <c r="H44" i="17"/>
  <c r="H83" i="17"/>
  <c r="H19" i="17"/>
  <c r="G134" i="17"/>
  <c r="H134" i="17" s="1"/>
  <c r="G70" i="17"/>
  <c r="H70" i="17" s="1"/>
  <c r="G6" i="17"/>
  <c r="H6" i="17" s="1"/>
  <c r="G109" i="17"/>
  <c r="H109" i="17" s="1"/>
  <c r="G45" i="17"/>
  <c r="H45" i="17" s="1"/>
  <c r="G28" i="17"/>
  <c r="H28" i="17" s="1"/>
  <c r="G74" i="17"/>
  <c r="H74" i="17" s="1"/>
  <c r="G130" i="17"/>
  <c r="H130" i="17" s="1"/>
  <c r="H108" i="17"/>
  <c r="H111" i="17"/>
  <c r="H47" i="17"/>
  <c r="H94" i="17"/>
  <c r="H30" i="17"/>
  <c r="D48" i="17"/>
  <c r="E48" i="17" s="1"/>
  <c r="D25" i="17"/>
  <c r="E25" i="17" s="1"/>
  <c r="D113" i="17"/>
  <c r="E113" i="17" s="1"/>
  <c r="D90" i="17"/>
  <c r="E90" i="17" s="1"/>
  <c r="D51" i="17"/>
  <c r="E51" i="17" s="1"/>
  <c r="D12" i="17"/>
  <c r="E12" i="17" s="1"/>
  <c r="D124" i="17"/>
  <c r="E124" i="17" s="1"/>
  <c r="D69" i="17"/>
  <c r="E69" i="17" s="1"/>
  <c r="D38" i="17"/>
  <c r="E38" i="17" s="1"/>
  <c r="D134" i="17"/>
  <c r="E134" i="17" s="1"/>
  <c r="D103" i="17"/>
  <c r="E103" i="17" s="1"/>
  <c r="G87" i="17"/>
  <c r="H87" i="17" s="1"/>
  <c r="G23" i="17"/>
  <c r="H23" i="17" s="1"/>
  <c r="G126" i="17"/>
  <c r="H126" i="17" s="1"/>
  <c r="G62" i="17"/>
  <c r="H62" i="17" s="1"/>
  <c r="G84" i="17"/>
  <c r="H84" i="17" s="1"/>
  <c r="G123" i="17"/>
  <c r="H123" i="17" s="1"/>
  <c r="G59" i="17"/>
  <c r="H59" i="17" s="1"/>
  <c r="G98" i="17"/>
  <c r="H98" i="17" s="1"/>
  <c r="H139" i="17"/>
  <c r="H75" i="17"/>
  <c r="H11" i="17"/>
  <c r="H122" i="17"/>
  <c r="H90" i="17"/>
  <c r="H58" i="17"/>
  <c r="H133" i="17"/>
  <c r="H101" i="17"/>
  <c r="H69" i="17"/>
  <c r="H37" i="17"/>
  <c r="H5" i="17"/>
  <c r="G143" i="17"/>
  <c r="H143" i="17" s="1"/>
  <c r="G79" i="17"/>
  <c r="H79" i="17" s="1"/>
  <c r="G15" i="17"/>
  <c r="H15" i="17" s="1"/>
  <c r="G140" i="17"/>
  <c r="H140" i="17" s="1"/>
  <c r="G76" i="17"/>
  <c r="H76" i="17" s="1"/>
  <c r="G26" i="17"/>
  <c r="H26" i="17" s="1"/>
  <c r="G115" i="17"/>
  <c r="H115" i="17" s="1"/>
  <c r="G43" i="17"/>
  <c r="H43" i="17" s="1"/>
  <c r="G66" i="17"/>
  <c r="H66" i="17" s="1"/>
  <c r="G34" i="17"/>
  <c r="H34" i="17" s="1"/>
  <c r="H103" i="17"/>
  <c r="H39" i="17"/>
  <c r="H118" i="17"/>
  <c r="H86" i="17"/>
  <c r="H54" i="17"/>
  <c r="H22" i="17"/>
  <c r="H12" i="17"/>
  <c r="G135" i="17"/>
  <c r="H135" i="17" s="1"/>
  <c r="G71" i="17"/>
  <c r="H71" i="17" s="1"/>
  <c r="G7" i="17"/>
  <c r="H7" i="17" s="1"/>
  <c r="G85" i="17"/>
  <c r="H85" i="17" s="1"/>
  <c r="G21" i="17"/>
  <c r="H21" i="17" s="1"/>
  <c r="G68" i="17"/>
  <c r="H68" i="17" s="1"/>
  <c r="G10" i="17"/>
  <c r="H10" i="17" s="1"/>
  <c r="G107" i="17"/>
  <c r="H107" i="17" s="1"/>
  <c r="G42" i="17"/>
  <c r="H42" i="17" s="1"/>
  <c r="G51" i="17"/>
  <c r="H51" i="17" s="1"/>
  <c r="H92" i="17"/>
  <c r="H131" i="17"/>
  <c r="H67" i="17"/>
  <c r="H35" i="17"/>
  <c r="H114" i="17"/>
  <c r="H82" i="17"/>
  <c r="H50" i="17"/>
  <c r="H125" i="17"/>
  <c r="H93" i="17"/>
  <c r="H61" i="17"/>
  <c r="H29" i="17"/>
  <c r="H36" i="17"/>
  <c r="G102" i="17"/>
  <c r="H102" i="17" s="1"/>
  <c r="G38" i="17"/>
  <c r="H38" i="17" s="1"/>
  <c r="G141" i="17"/>
  <c r="H141" i="17" s="1"/>
  <c r="G77" i="17"/>
  <c r="H77" i="17" s="1"/>
  <c r="G13" i="17"/>
  <c r="H13" i="17" s="1"/>
  <c r="G124" i="17"/>
  <c r="H124" i="17" s="1"/>
  <c r="G60" i="17"/>
  <c r="H60" i="17" s="1"/>
  <c r="G99" i="17"/>
  <c r="H99" i="17" s="1"/>
  <c r="G27" i="17"/>
  <c r="H27" i="17" s="1"/>
  <c r="G18" i="17"/>
  <c r="H18" i="17" s="1"/>
  <c r="D87" i="17"/>
  <c r="E87" i="17" s="1"/>
  <c r="D64" i="17"/>
  <c r="E64" i="17" s="1"/>
  <c r="D128" i="17"/>
  <c r="E128" i="17" s="1"/>
  <c r="D57" i="17"/>
  <c r="E57" i="17" s="1"/>
  <c r="D121" i="17"/>
  <c r="E121" i="17" s="1"/>
  <c r="D50" i="17"/>
  <c r="E50" i="17" s="1"/>
  <c r="D114" i="17"/>
  <c r="E114" i="17" s="1"/>
  <c r="D43" i="17"/>
  <c r="E43" i="17" s="1"/>
  <c r="D107" i="17"/>
  <c r="E107" i="17" s="1"/>
  <c r="D28" i="17"/>
  <c r="E28" i="17" s="1"/>
  <c r="D92" i="17"/>
  <c r="E92" i="17" s="1"/>
  <c r="D13" i="17"/>
  <c r="E13" i="17" s="1"/>
  <c r="D77" i="17"/>
  <c r="E77" i="17" s="1"/>
  <c r="D141" i="17"/>
  <c r="E141" i="17" s="1"/>
  <c r="D62" i="17"/>
  <c r="E62" i="17" s="1"/>
  <c r="D126" i="17"/>
  <c r="E126" i="17" s="1"/>
  <c r="D47" i="17"/>
  <c r="E47" i="17" s="1"/>
  <c r="D111" i="17"/>
  <c r="E111" i="17" s="1"/>
  <c r="D16" i="17"/>
  <c r="E16" i="17" s="1"/>
  <c r="D80" i="17"/>
  <c r="E80" i="17" s="1"/>
  <c r="D9" i="17"/>
  <c r="E9" i="17" s="1"/>
  <c r="D73" i="17"/>
  <c r="E73" i="17" s="1"/>
  <c r="D137" i="17"/>
  <c r="E137" i="17" s="1"/>
  <c r="D66" i="17"/>
  <c r="E66" i="17" s="1"/>
  <c r="D130" i="17"/>
  <c r="E130" i="17" s="1"/>
  <c r="D59" i="17"/>
  <c r="E59" i="17" s="1"/>
  <c r="D123" i="17"/>
  <c r="E123" i="17" s="1"/>
  <c r="D44" i="17"/>
  <c r="E44" i="17" s="1"/>
  <c r="D108" i="17"/>
  <c r="E108" i="17" s="1"/>
  <c r="D29" i="17"/>
  <c r="E29" i="17" s="1"/>
  <c r="D93" i="17"/>
  <c r="E93" i="17" s="1"/>
  <c r="D14" i="17"/>
  <c r="E14" i="17" s="1"/>
  <c r="D78" i="17"/>
  <c r="E78" i="17" s="1"/>
  <c r="D142" i="17"/>
  <c r="E142" i="17" s="1"/>
  <c r="D63" i="17"/>
  <c r="E63" i="17" s="1"/>
  <c r="D127" i="17"/>
  <c r="E127" i="17" s="1"/>
  <c r="D24" i="17"/>
  <c r="E24" i="17" s="1"/>
  <c r="D88" i="17"/>
  <c r="E88" i="17" s="1"/>
  <c r="D17" i="17"/>
  <c r="E17" i="17" s="1"/>
  <c r="D81" i="17"/>
  <c r="E81" i="17" s="1"/>
  <c r="D10" i="17"/>
  <c r="E10" i="17" s="1"/>
  <c r="D74" i="17"/>
  <c r="E74" i="17" s="1"/>
  <c r="D138" i="17"/>
  <c r="E138" i="17" s="1"/>
  <c r="D67" i="17"/>
  <c r="E67" i="17" s="1"/>
  <c r="D131" i="17"/>
  <c r="E131" i="17" s="1"/>
  <c r="D52" i="17"/>
  <c r="E52" i="17" s="1"/>
  <c r="D116" i="17"/>
  <c r="E116" i="17" s="1"/>
  <c r="D37" i="17"/>
  <c r="E37" i="17" s="1"/>
  <c r="D101" i="17"/>
  <c r="E101" i="17" s="1"/>
  <c r="D22" i="17"/>
  <c r="E22" i="17" s="1"/>
  <c r="D86" i="17"/>
  <c r="E86" i="17" s="1"/>
  <c r="D7" i="17"/>
  <c r="E7" i="17" s="1"/>
  <c r="D71" i="17"/>
  <c r="E71" i="17" s="1"/>
  <c r="K33" i="6"/>
  <c r="AH31" i="6"/>
  <c r="AG28" i="6"/>
  <c r="AH26" i="6"/>
  <c r="AR18" i="6"/>
  <c r="AR17" i="6"/>
  <c r="Y14" i="6"/>
  <c r="O15" i="6"/>
  <c r="O14" i="6"/>
  <c r="Z9" i="6"/>
  <c r="Z7" i="6"/>
  <c r="Q7" i="6"/>
  <c r="K7" i="6"/>
  <c r="L8" i="6"/>
  <c r="L10" i="6"/>
  <c r="C32" i="6"/>
  <c r="C30" i="6"/>
  <c r="C28" i="6"/>
  <c r="C18" i="6"/>
  <c r="C16" i="6"/>
  <c r="C14" i="6"/>
  <c r="A32" i="6"/>
  <c r="A30" i="6"/>
  <c r="A18" i="6"/>
  <c r="A16" i="6"/>
  <c r="A14" i="6"/>
  <c r="A28" i="6"/>
  <c r="C16" i="1"/>
  <c r="C14" i="1"/>
  <c r="C12" i="1"/>
  <c r="C14" i="3"/>
  <c r="C12" i="3"/>
  <c r="C16" i="3"/>
  <c r="P52" i="6" l="1"/>
  <c r="AV52" i="6"/>
  <c r="AH40" i="17"/>
  <c r="AB64" i="17"/>
  <c r="E3" i="17"/>
  <c r="AB65" i="17" s="1"/>
  <c r="J25" i="17"/>
  <c r="L25" i="17" s="1"/>
  <c r="N25" i="17" s="1"/>
  <c r="H3" i="17"/>
  <c r="J3" i="17" s="1"/>
  <c r="J96" i="17"/>
  <c r="L96" i="17" s="1"/>
  <c r="N96" i="17" s="1"/>
  <c r="L128" i="17"/>
  <c r="N128" i="17" s="1"/>
  <c r="K81" i="17"/>
  <c r="M81" i="17" s="1"/>
  <c r="L112" i="17"/>
  <c r="N112" i="17" s="1"/>
  <c r="M104" i="17"/>
  <c r="L120" i="17"/>
  <c r="N120" i="17" s="1"/>
  <c r="I120" i="17"/>
  <c r="K120" i="17" s="1"/>
  <c r="J41" i="17"/>
  <c r="L41" i="17" s="1"/>
  <c r="N41" i="17" s="1"/>
  <c r="J17" i="17"/>
  <c r="L17" i="17" s="1"/>
  <c r="N17" i="17" s="1"/>
  <c r="J72" i="17"/>
  <c r="L72" i="17" s="1"/>
  <c r="N72" i="17" s="1"/>
  <c r="K89" i="17"/>
  <c r="K17" i="17"/>
  <c r="J56" i="17"/>
  <c r="L56" i="17" s="1"/>
  <c r="N56" i="17" s="1"/>
  <c r="J80" i="17"/>
  <c r="L80" i="17" s="1"/>
  <c r="N80" i="17" s="1"/>
  <c r="K80" i="17"/>
  <c r="K129" i="17"/>
  <c r="J105" i="17"/>
  <c r="L105" i="17" s="1"/>
  <c r="N105" i="17" s="1"/>
  <c r="J104" i="17"/>
  <c r="L104" i="17" s="1"/>
  <c r="N104" i="17" s="1"/>
  <c r="K57" i="17"/>
  <c r="I24" i="17"/>
  <c r="K24" i="17" s="1"/>
  <c r="L121" i="17"/>
  <c r="N121" i="17" s="1"/>
  <c r="K25" i="17"/>
  <c r="K72" i="17"/>
  <c r="I121" i="17"/>
  <c r="K121" i="17" s="1"/>
  <c r="K105" i="17"/>
  <c r="J64" i="17"/>
  <c r="L64" i="17" s="1"/>
  <c r="N64" i="17" s="1"/>
  <c r="I112" i="17"/>
  <c r="K112" i="17" s="1"/>
  <c r="J81" i="17"/>
  <c r="L81" i="17" s="1"/>
  <c r="N81" i="17" s="1"/>
  <c r="I40" i="17"/>
  <c r="K40" i="17" s="1"/>
  <c r="J57" i="17"/>
  <c r="L57" i="17" s="1"/>
  <c r="N57" i="17" s="1"/>
  <c r="K73" i="17"/>
  <c r="K56" i="17"/>
  <c r="J88" i="17"/>
  <c r="L88" i="17" s="1"/>
  <c r="N88" i="17" s="1"/>
  <c r="I113" i="17"/>
  <c r="K113" i="17" s="1"/>
  <c r="K96" i="17"/>
  <c r="I128" i="17"/>
  <c r="K128" i="17" s="1"/>
  <c r="K41" i="17"/>
  <c r="L113" i="17"/>
  <c r="N113" i="17" s="1"/>
  <c r="K64" i="17"/>
  <c r="L136" i="17"/>
  <c r="N136" i="17" s="1"/>
  <c r="J49" i="17"/>
  <c r="L49" i="17" s="1"/>
  <c r="N49" i="17" s="1"/>
  <c r="J8" i="17"/>
  <c r="L8" i="17" s="1"/>
  <c r="N8" i="17" s="1"/>
  <c r="J65" i="17"/>
  <c r="L65" i="17" s="1"/>
  <c r="N65" i="17" s="1"/>
  <c r="J48" i="17"/>
  <c r="L48" i="17" s="1"/>
  <c r="N48" i="17" s="1"/>
  <c r="K49" i="17"/>
  <c r="K65" i="17"/>
  <c r="L89" i="17"/>
  <c r="N89" i="17" s="1"/>
  <c r="K9" i="17"/>
  <c r="J33" i="17"/>
  <c r="L33" i="17" s="1"/>
  <c r="N33" i="17" s="1"/>
  <c r="K33" i="17"/>
  <c r="J97" i="17"/>
  <c r="L97" i="17" s="1"/>
  <c r="N97" i="17" s="1"/>
  <c r="J73" i="17"/>
  <c r="L73" i="17" s="1"/>
  <c r="N73" i="17" s="1"/>
  <c r="J129" i="17"/>
  <c r="L129" i="17" s="1"/>
  <c r="N129" i="17" s="1"/>
  <c r="J9" i="17"/>
  <c r="L9" i="17" s="1"/>
  <c r="N9" i="17" s="1"/>
  <c r="L16" i="17"/>
  <c r="N16" i="17" s="1"/>
  <c r="K137" i="17"/>
  <c r="I16" i="17"/>
  <c r="K16" i="17" s="1"/>
  <c r="I136" i="17"/>
  <c r="K136" i="17" s="1"/>
  <c r="K97" i="17"/>
  <c r="J137" i="17"/>
  <c r="L137" i="17" s="1"/>
  <c r="N137" i="17" s="1"/>
  <c r="L40" i="17"/>
  <c r="N40" i="17" s="1"/>
  <c r="K48" i="17"/>
  <c r="L24" i="17"/>
  <c r="N24" i="17" s="1"/>
  <c r="I60" i="17"/>
  <c r="K60" i="17" s="1"/>
  <c r="J60" i="17"/>
  <c r="L60" i="17" s="1"/>
  <c r="N60" i="17" s="1"/>
  <c r="I86" i="17"/>
  <c r="K86" i="17" s="1"/>
  <c r="J86" i="17"/>
  <c r="L86" i="17" s="1"/>
  <c r="N86" i="17" s="1"/>
  <c r="I61" i="17"/>
  <c r="K61" i="17" s="1"/>
  <c r="J61" i="17"/>
  <c r="L61" i="17" s="1"/>
  <c r="N61" i="17" s="1"/>
  <c r="I85" i="17"/>
  <c r="K85" i="17" s="1"/>
  <c r="J85" i="17"/>
  <c r="L85" i="17" s="1"/>
  <c r="N85" i="17" s="1"/>
  <c r="I118" i="17"/>
  <c r="K118" i="17" s="1"/>
  <c r="J118" i="17"/>
  <c r="L118" i="17" s="1"/>
  <c r="N118" i="17" s="1"/>
  <c r="I76" i="17"/>
  <c r="K76" i="17" s="1"/>
  <c r="J76" i="17"/>
  <c r="L76" i="17" s="1"/>
  <c r="N76" i="17" s="1"/>
  <c r="J130" i="17"/>
  <c r="L130" i="17" s="1"/>
  <c r="N130" i="17" s="1"/>
  <c r="I130" i="17"/>
  <c r="K130" i="17" s="1"/>
  <c r="J19" i="17"/>
  <c r="L19" i="17" s="1"/>
  <c r="N19" i="17" s="1"/>
  <c r="I19" i="17"/>
  <c r="K19" i="17" s="1"/>
  <c r="I52" i="17"/>
  <c r="K52" i="17" s="1"/>
  <c r="J52" i="17"/>
  <c r="L52" i="17" s="1"/>
  <c r="N52" i="17" s="1"/>
  <c r="I110" i="17"/>
  <c r="K110" i="17" s="1"/>
  <c r="J110" i="17"/>
  <c r="L110" i="17" s="1"/>
  <c r="N110" i="17" s="1"/>
  <c r="I32" i="17"/>
  <c r="K32" i="17" s="1"/>
  <c r="J32" i="17"/>
  <c r="L32" i="17" s="1"/>
  <c r="N32" i="17" s="1"/>
  <c r="I67" i="17"/>
  <c r="K67" i="17" s="1"/>
  <c r="J67" i="17"/>
  <c r="L67" i="17" s="1"/>
  <c r="N67" i="17" s="1"/>
  <c r="I139" i="17"/>
  <c r="K139" i="17" s="1"/>
  <c r="J139" i="17"/>
  <c r="L139" i="17" s="1"/>
  <c r="N139" i="17" s="1"/>
  <c r="I108" i="17"/>
  <c r="K108" i="17" s="1"/>
  <c r="J108" i="17"/>
  <c r="L108" i="17" s="1"/>
  <c r="N108" i="17" s="1"/>
  <c r="J124" i="17"/>
  <c r="L124" i="17" s="1"/>
  <c r="N124" i="17" s="1"/>
  <c r="I124" i="17"/>
  <c r="K124" i="17" s="1"/>
  <c r="J98" i="17"/>
  <c r="L98" i="17" s="1"/>
  <c r="N98" i="17" s="1"/>
  <c r="I98" i="17"/>
  <c r="K98" i="17" s="1"/>
  <c r="I13" i="17"/>
  <c r="K13" i="17" s="1"/>
  <c r="J13" i="17"/>
  <c r="L13" i="17" s="1"/>
  <c r="N13" i="17" s="1"/>
  <c r="I93" i="17"/>
  <c r="K93" i="17" s="1"/>
  <c r="J93" i="17"/>
  <c r="L93" i="17" s="1"/>
  <c r="N93" i="17" s="1"/>
  <c r="I92" i="17"/>
  <c r="K92" i="17" s="1"/>
  <c r="J92" i="17"/>
  <c r="L92" i="17" s="1"/>
  <c r="N92" i="17" s="1"/>
  <c r="J7" i="17"/>
  <c r="L7" i="17" s="1"/>
  <c r="N7" i="17" s="1"/>
  <c r="I7" i="17"/>
  <c r="K7" i="17" s="1"/>
  <c r="I39" i="17"/>
  <c r="K39" i="17" s="1"/>
  <c r="J39" i="17"/>
  <c r="L39" i="17" s="1"/>
  <c r="N39" i="17" s="1"/>
  <c r="J140" i="17"/>
  <c r="L140" i="17" s="1"/>
  <c r="N140" i="17" s="1"/>
  <c r="I140" i="17"/>
  <c r="K140" i="17" s="1"/>
  <c r="I133" i="17"/>
  <c r="K133" i="17" s="1"/>
  <c r="J133" i="17"/>
  <c r="L133" i="17" s="1"/>
  <c r="N133" i="17" s="1"/>
  <c r="I59" i="17"/>
  <c r="K59" i="17" s="1"/>
  <c r="J59" i="17"/>
  <c r="L59" i="17" s="1"/>
  <c r="N59" i="17" s="1"/>
  <c r="I74" i="17"/>
  <c r="K74" i="17" s="1"/>
  <c r="J74" i="17"/>
  <c r="L74" i="17" s="1"/>
  <c r="N74" i="17" s="1"/>
  <c r="I83" i="17"/>
  <c r="K83" i="17" s="1"/>
  <c r="J83" i="17"/>
  <c r="L83" i="17" s="1"/>
  <c r="N83" i="17" s="1"/>
  <c r="I55" i="17"/>
  <c r="K55" i="17" s="1"/>
  <c r="J55" i="17"/>
  <c r="L55" i="17" s="1"/>
  <c r="N55" i="17" s="1"/>
  <c r="J116" i="17"/>
  <c r="L116" i="17" s="1"/>
  <c r="N116" i="17" s="1"/>
  <c r="I116" i="17"/>
  <c r="K116" i="17" s="1"/>
  <c r="I95" i="17"/>
  <c r="K95" i="17" s="1"/>
  <c r="J95" i="17"/>
  <c r="L95" i="17" s="1"/>
  <c r="N95" i="17" s="1"/>
  <c r="I87" i="17"/>
  <c r="K87" i="17" s="1"/>
  <c r="J87" i="17"/>
  <c r="L87" i="17" s="1"/>
  <c r="N87" i="17" s="1"/>
  <c r="I131" i="17"/>
  <c r="K131" i="17" s="1"/>
  <c r="J131" i="17"/>
  <c r="L131" i="17" s="1"/>
  <c r="N131" i="17" s="1"/>
  <c r="I101" i="17"/>
  <c r="K101" i="17" s="1"/>
  <c r="J101" i="17"/>
  <c r="L101" i="17" s="1"/>
  <c r="N101" i="17" s="1"/>
  <c r="I77" i="17"/>
  <c r="K77" i="17" s="1"/>
  <c r="J77" i="17"/>
  <c r="L77" i="17" s="1"/>
  <c r="N77" i="17" s="1"/>
  <c r="I125" i="17"/>
  <c r="K125" i="17" s="1"/>
  <c r="J125" i="17"/>
  <c r="L125" i="17" s="1"/>
  <c r="N125" i="17" s="1"/>
  <c r="I51" i="17"/>
  <c r="K51" i="17" s="1"/>
  <c r="J51" i="17"/>
  <c r="L51" i="17" s="1"/>
  <c r="N51" i="17" s="1"/>
  <c r="I71" i="17"/>
  <c r="K71" i="17" s="1"/>
  <c r="J71" i="17"/>
  <c r="L71" i="17" s="1"/>
  <c r="N71" i="17" s="1"/>
  <c r="I103" i="17"/>
  <c r="K103" i="17" s="1"/>
  <c r="J103" i="17"/>
  <c r="L103" i="17" s="1"/>
  <c r="N103" i="17" s="1"/>
  <c r="J15" i="17"/>
  <c r="L15" i="17" s="1"/>
  <c r="N15" i="17" s="1"/>
  <c r="I15" i="17"/>
  <c r="K15" i="17" s="1"/>
  <c r="J58" i="17"/>
  <c r="L58" i="17" s="1"/>
  <c r="N58" i="17" s="1"/>
  <c r="I58" i="17"/>
  <c r="K58" i="17" s="1"/>
  <c r="I123" i="17"/>
  <c r="K123" i="17" s="1"/>
  <c r="J123" i="17"/>
  <c r="L123" i="17" s="1"/>
  <c r="N123" i="17" s="1"/>
  <c r="J28" i="17"/>
  <c r="L28" i="17" s="1"/>
  <c r="N28" i="17" s="1"/>
  <c r="I28" i="17"/>
  <c r="K28" i="17" s="1"/>
  <c r="I44" i="17"/>
  <c r="K44" i="17" s="1"/>
  <c r="J44" i="17"/>
  <c r="L44" i="17" s="1"/>
  <c r="N44" i="17" s="1"/>
  <c r="I119" i="17"/>
  <c r="K119" i="17" s="1"/>
  <c r="J119" i="17"/>
  <c r="L119" i="17" s="1"/>
  <c r="N119" i="17" s="1"/>
  <c r="I14" i="17"/>
  <c r="K14" i="17" s="1"/>
  <c r="J14" i="17"/>
  <c r="L14" i="17" s="1"/>
  <c r="N14" i="17" s="1"/>
  <c r="I100" i="17"/>
  <c r="K100" i="17" s="1"/>
  <c r="J100" i="17"/>
  <c r="L100" i="17" s="1"/>
  <c r="N100" i="17" s="1"/>
  <c r="I69" i="17"/>
  <c r="K69" i="17" s="1"/>
  <c r="J69" i="17"/>
  <c r="L69" i="17" s="1"/>
  <c r="N69" i="17" s="1"/>
  <c r="I141" i="17"/>
  <c r="K141" i="17" s="1"/>
  <c r="J141" i="17"/>
  <c r="L141" i="17" s="1"/>
  <c r="N141" i="17" s="1"/>
  <c r="I50" i="17"/>
  <c r="K50" i="17" s="1"/>
  <c r="J50" i="17"/>
  <c r="L50" i="17" s="1"/>
  <c r="N50" i="17" s="1"/>
  <c r="I42" i="17"/>
  <c r="K42" i="17" s="1"/>
  <c r="J42" i="17"/>
  <c r="L42" i="17" s="1"/>
  <c r="N42" i="17" s="1"/>
  <c r="I135" i="17"/>
  <c r="K135" i="17" s="1"/>
  <c r="J135" i="17"/>
  <c r="L135" i="17" s="1"/>
  <c r="N135" i="17" s="1"/>
  <c r="J34" i="17"/>
  <c r="L34" i="17" s="1"/>
  <c r="N34" i="17" s="1"/>
  <c r="I34" i="17"/>
  <c r="K34" i="17" s="1"/>
  <c r="I79" i="17"/>
  <c r="K79" i="17" s="1"/>
  <c r="J79" i="17"/>
  <c r="L79" i="17" s="1"/>
  <c r="N79" i="17" s="1"/>
  <c r="J90" i="17"/>
  <c r="L90" i="17" s="1"/>
  <c r="N90" i="17" s="1"/>
  <c r="I90" i="17"/>
  <c r="K90" i="17" s="1"/>
  <c r="I84" i="17"/>
  <c r="K84" i="17" s="1"/>
  <c r="J84" i="17"/>
  <c r="L84" i="17" s="1"/>
  <c r="N84" i="17" s="1"/>
  <c r="J30" i="17"/>
  <c r="L30" i="17" s="1"/>
  <c r="N30" i="17" s="1"/>
  <c r="I30" i="17"/>
  <c r="K30" i="17" s="1"/>
  <c r="I45" i="17"/>
  <c r="K45" i="17" s="1"/>
  <c r="J45" i="17"/>
  <c r="L45" i="17" s="1"/>
  <c r="N45" i="17" s="1"/>
  <c r="I106" i="17"/>
  <c r="K106" i="17" s="1"/>
  <c r="J106" i="17"/>
  <c r="L106" i="17" s="1"/>
  <c r="N106" i="17" s="1"/>
  <c r="I138" i="17"/>
  <c r="K138" i="17" s="1"/>
  <c r="J138" i="17"/>
  <c r="L138" i="17" s="1"/>
  <c r="N138" i="17" s="1"/>
  <c r="J4" i="17"/>
  <c r="L4" i="17" s="1"/>
  <c r="N4" i="17" s="1"/>
  <c r="I4" i="17"/>
  <c r="K4" i="17" s="1"/>
  <c r="J132" i="17"/>
  <c r="L132" i="17" s="1"/>
  <c r="N132" i="17" s="1"/>
  <c r="I132" i="17"/>
  <c r="K132" i="17" s="1"/>
  <c r="J26" i="17"/>
  <c r="L26" i="17" s="1"/>
  <c r="N26" i="17" s="1"/>
  <c r="I26" i="17"/>
  <c r="K26" i="17" s="1"/>
  <c r="I46" i="17"/>
  <c r="K46" i="17" s="1"/>
  <c r="J46" i="17"/>
  <c r="L46" i="17" s="1"/>
  <c r="N46" i="17" s="1"/>
  <c r="K88" i="17"/>
  <c r="I18" i="17"/>
  <c r="K18" i="17" s="1"/>
  <c r="J18" i="17"/>
  <c r="L18" i="17" s="1"/>
  <c r="N18" i="17" s="1"/>
  <c r="I38" i="17"/>
  <c r="K38" i="17" s="1"/>
  <c r="J38" i="17"/>
  <c r="L38" i="17" s="1"/>
  <c r="N38" i="17" s="1"/>
  <c r="I82" i="17"/>
  <c r="K82" i="17" s="1"/>
  <c r="J82" i="17"/>
  <c r="L82" i="17" s="1"/>
  <c r="N82" i="17" s="1"/>
  <c r="I107" i="17"/>
  <c r="K107" i="17" s="1"/>
  <c r="J107" i="17"/>
  <c r="L107" i="17" s="1"/>
  <c r="N107" i="17" s="1"/>
  <c r="J12" i="17"/>
  <c r="L12" i="17" s="1"/>
  <c r="N12" i="17" s="1"/>
  <c r="I12" i="17"/>
  <c r="K12" i="17" s="1"/>
  <c r="J66" i="17"/>
  <c r="L66" i="17" s="1"/>
  <c r="N66" i="17" s="1"/>
  <c r="I66" i="17"/>
  <c r="K66" i="17" s="1"/>
  <c r="I143" i="17"/>
  <c r="K143" i="17" s="1"/>
  <c r="J143" i="17"/>
  <c r="L143" i="17" s="1"/>
  <c r="N143" i="17" s="1"/>
  <c r="J122" i="17"/>
  <c r="L122" i="17" s="1"/>
  <c r="N122" i="17" s="1"/>
  <c r="I122" i="17"/>
  <c r="K122" i="17" s="1"/>
  <c r="J62" i="17"/>
  <c r="L62" i="17" s="1"/>
  <c r="N62" i="17" s="1"/>
  <c r="I62" i="17"/>
  <c r="K62" i="17" s="1"/>
  <c r="J94" i="17"/>
  <c r="L94" i="17" s="1"/>
  <c r="N94" i="17" s="1"/>
  <c r="I94" i="17"/>
  <c r="K94" i="17" s="1"/>
  <c r="I109" i="17"/>
  <c r="K109" i="17" s="1"/>
  <c r="J109" i="17"/>
  <c r="L109" i="17" s="1"/>
  <c r="N109" i="17" s="1"/>
  <c r="I53" i="17"/>
  <c r="K53" i="17" s="1"/>
  <c r="J53" i="17"/>
  <c r="L53" i="17" s="1"/>
  <c r="N53" i="17" s="1"/>
  <c r="I78" i="17"/>
  <c r="K78" i="17" s="1"/>
  <c r="J78" i="17"/>
  <c r="L78" i="17" s="1"/>
  <c r="N78" i="17" s="1"/>
  <c r="J31" i="17"/>
  <c r="L31" i="17" s="1"/>
  <c r="N31" i="17" s="1"/>
  <c r="I31" i="17"/>
  <c r="K31" i="17" s="1"/>
  <c r="I29" i="17"/>
  <c r="K29" i="17" s="1"/>
  <c r="J29" i="17"/>
  <c r="L29" i="17" s="1"/>
  <c r="N29" i="17" s="1"/>
  <c r="I91" i="17"/>
  <c r="K91" i="17" s="1"/>
  <c r="J91" i="17"/>
  <c r="L91" i="17" s="1"/>
  <c r="N91" i="17" s="1"/>
  <c r="J27" i="17"/>
  <c r="L27" i="17" s="1"/>
  <c r="N27" i="17" s="1"/>
  <c r="I27" i="17"/>
  <c r="K27" i="17" s="1"/>
  <c r="I102" i="17"/>
  <c r="K102" i="17" s="1"/>
  <c r="J102" i="17"/>
  <c r="L102" i="17" s="1"/>
  <c r="N102" i="17" s="1"/>
  <c r="I114" i="17"/>
  <c r="K114" i="17" s="1"/>
  <c r="J114" i="17"/>
  <c r="L114" i="17" s="1"/>
  <c r="N114" i="17" s="1"/>
  <c r="I10" i="17"/>
  <c r="K10" i="17" s="1"/>
  <c r="J10" i="17"/>
  <c r="L10" i="17" s="1"/>
  <c r="N10" i="17" s="1"/>
  <c r="I22" i="17"/>
  <c r="K22" i="17" s="1"/>
  <c r="J22" i="17"/>
  <c r="L22" i="17" s="1"/>
  <c r="N22" i="17" s="1"/>
  <c r="I43" i="17"/>
  <c r="K43" i="17" s="1"/>
  <c r="J43" i="17"/>
  <c r="L43" i="17" s="1"/>
  <c r="N43" i="17" s="1"/>
  <c r="I5" i="17"/>
  <c r="K5" i="17" s="1"/>
  <c r="J5" i="17"/>
  <c r="L5" i="17" s="1"/>
  <c r="N5" i="17" s="1"/>
  <c r="J11" i="17"/>
  <c r="L11" i="17" s="1"/>
  <c r="N11" i="17" s="1"/>
  <c r="I11" i="17"/>
  <c r="K11" i="17" s="1"/>
  <c r="J126" i="17"/>
  <c r="L126" i="17" s="1"/>
  <c r="N126" i="17" s="1"/>
  <c r="I126" i="17"/>
  <c r="K126" i="17" s="1"/>
  <c r="I47" i="17"/>
  <c r="K47" i="17" s="1"/>
  <c r="J47" i="17"/>
  <c r="L47" i="17" s="1"/>
  <c r="N47" i="17" s="1"/>
  <c r="I6" i="17"/>
  <c r="K6" i="17" s="1"/>
  <c r="J6" i="17"/>
  <c r="L6" i="17" s="1"/>
  <c r="N6" i="17" s="1"/>
  <c r="J117" i="17"/>
  <c r="L117" i="17" s="1"/>
  <c r="N117" i="17" s="1"/>
  <c r="I117" i="17"/>
  <c r="K117" i="17" s="1"/>
  <c r="I63" i="17"/>
  <c r="K63" i="17" s="1"/>
  <c r="J63" i="17"/>
  <c r="L63" i="17" s="1"/>
  <c r="N63" i="17" s="1"/>
  <c r="I142" i="17"/>
  <c r="K142" i="17" s="1"/>
  <c r="J142" i="17"/>
  <c r="L142" i="17" s="1"/>
  <c r="N142" i="17" s="1"/>
  <c r="I21" i="17"/>
  <c r="K21" i="17" s="1"/>
  <c r="J21" i="17"/>
  <c r="L21" i="17" s="1"/>
  <c r="N21" i="17" s="1"/>
  <c r="I134" i="17"/>
  <c r="K134" i="17" s="1"/>
  <c r="J134" i="17"/>
  <c r="L134" i="17" s="1"/>
  <c r="N134" i="17" s="1"/>
  <c r="I99" i="17"/>
  <c r="K99" i="17" s="1"/>
  <c r="J99" i="17"/>
  <c r="L99" i="17" s="1"/>
  <c r="N99" i="17" s="1"/>
  <c r="I36" i="17"/>
  <c r="K36" i="17" s="1"/>
  <c r="J36" i="17"/>
  <c r="L36" i="17" s="1"/>
  <c r="N36" i="17" s="1"/>
  <c r="J35" i="17"/>
  <c r="L35" i="17" s="1"/>
  <c r="N35" i="17" s="1"/>
  <c r="I35" i="17"/>
  <c r="K35" i="17" s="1"/>
  <c r="I68" i="17"/>
  <c r="K68" i="17" s="1"/>
  <c r="J68" i="17"/>
  <c r="L68" i="17" s="1"/>
  <c r="N68" i="17" s="1"/>
  <c r="I54" i="17"/>
  <c r="K54" i="17" s="1"/>
  <c r="J54" i="17"/>
  <c r="L54" i="17" s="1"/>
  <c r="N54" i="17" s="1"/>
  <c r="I115" i="17"/>
  <c r="K115" i="17" s="1"/>
  <c r="J115" i="17"/>
  <c r="L115" i="17" s="1"/>
  <c r="N115" i="17" s="1"/>
  <c r="I37" i="17"/>
  <c r="K37" i="17" s="1"/>
  <c r="J37" i="17"/>
  <c r="L37" i="17" s="1"/>
  <c r="N37" i="17" s="1"/>
  <c r="I75" i="17"/>
  <c r="K75" i="17" s="1"/>
  <c r="J75" i="17"/>
  <c r="L75" i="17" s="1"/>
  <c r="N75" i="17" s="1"/>
  <c r="J23" i="17"/>
  <c r="L23" i="17" s="1"/>
  <c r="N23" i="17" s="1"/>
  <c r="I23" i="17"/>
  <c r="K23" i="17" s="1"/>
  <c r="I111" i="17"/>
  <c r="K111" i="17" s="1"/>
  <c r="J111" i="17"/>
  <c r="L111" i="17" s="1"/>
  <c r="N111" i="17" s="1"/>
  <c r="I70" i="17"/>
  <c r="K70" i="17" s="1"/>
  <c r="J70" i="17"/>
  <c r="L70" i="17" s="1"/>
  <c r="N70" i="17" s="1"/>
  <c r="K8" i="17"/>
  <c r="J20" i="17"/>
  <c r="L20" i="17" s="1"/>
  <c r="N20" i="17" s="1"/>
  <c r="I20" i="17"/>
  <c r="K20" i="17" s="1"/>
  <c r="I127" i="17"/>
  <c r="K127" i="17" s="1"/>
  <c r="J127" i="17"/>
  <c r="L127" i="17" s="1"/>
  <c r="N127" i="17" s="1"/>
  <c r="C14" i="5"/>
  <c r="C16" i="5"/>
  <c r="C18" i="5"/>
  <c r="A18" i="5"/>
  <c r="A16" i="5"/>
  <c r="AV56" i="5"/>
  <c r="K33" i="5"/>
  <c r="AH31" i="5"/>
  <c r="AG28" i="5"/>
  <c r="AH26" i="5"/>
  <c r="AR18" i="5"/>
  <c r="AR17" i="5"/>
  <c r="Y14" i="5"/>
  <c r="O17" i="5"/>
  <c r="O15" i="5"/>
  <c r="O14" i="5"/>
  <c r="Z9" i="5"/>
  <c r="Z7" i="5"/>
  <c r="K7" i="5"/>
  <c r="L8" i="5"/>
  <c r="L10" i="5"/>
  <c r="E54" i="5" s="1"/>
  <c r="AV56" i="3"/>
  <c r="AR18" i="3"/>
  <c r="AR17" i="3"/>
  <c r="K33" i="3"/>
  <c r="AH31" i="3"/>
  <c r="AG28" i="3"/>
  <c r="AH26" i="3"/>
  <c r="Y14" i="3"/>
  <c r="O15" i="3"/>
  <c r="O14" i="3"/>
  <c r="Z9" i="3"/>
  <c r="Z7" i="3"/>
  <c r="Q7" i="3"/>
  <c r="K7" i="3"/>
  <c r="L8" i="3"/>
  <c r="L10" i="3"/>
  <c r="E50" i="3" s="1"/>
  <c r="AQ18" i="4"/>
  <c r="AQ17" i="4"/>
  <c r="AR18" i="1"/>
  <c r="AR17" i="1"/>
  <c r="O19" i="1"/>
  <c r="P106" i="2"/>
  <c r="O106" i="2"/>
  <c r="N106" i="2"/>
  <c r="K106" i="2"/>
  <c r="J106" i="2"/>
  <c r="P134" i="2"/>
  <c r="P133" i="2"/>
  <c r="P132" i="2"/>
  <c r="P131" i="2"/>
  <c r="P129" i="2"/>
  <c r="P128" i="2"/>
  <c r="P127" i="2"/>
  <c r="P126" i="2"/>
  <c r="P124" i="2"/>
  <c r="P123" i="2"/>
  <c r="P122" i="2"/>
  <c r="P121" i="2"/>
  <c r="P119" i="2"/>
  <c r="P118" i="2"/>
  <c r="P117" i="2"/>
  <c r="P116" i="2"/>
  <c r="P114" i="2"/>
  <c r="P113" i="2"/>
  <c r="P112" i="2"/>
  <c r="P110" i="2"/>
  <c r="P109" i="2"/>
  <c r="O134" i="2"/>
  <c r="N134" i="2"/>
  <c r="O133" i="2"/>
  <c r="N133" i="2"/>
  <c r="O132" i="2"/>
  <c r="N132" i="2"/>
  <c r="O131" i="2"/>
  <c r="N131" i="2"/>
  <c r="O129" i="2"/>
  <c r="N129" i="2"/>
  <c r="O128" i="2"/>
  <c r="N128" i="2"/>
  <c r="O127" i="2"/>
  <c r="N127" i="2"/>
  <c r="O126" i="2"/>
  <c r="N126" i="2"/>
  <c r="O124" i="2"/>
  <c r="N124" i="2"/>
  <c r="O123" i="2"/>
  <c r="N123" i="2"/>
  <c r="O122" i="2"/>
  <c r="N122" i="2"/>
  <c r="O121" i="2"/>
  <c r="N121" i="2"/>
  <c r="O119" i="2"/>
  <c r="N119" i="2"/>
  <c r="O118" i="2"/>
  <c r="N118" i="2"/>
  <c r="O117" i="2"/>
  <c r="N117" i="2"/>
  <c r="O116" i="2"/>
  <c r="N116" i="2"/>
  <c r="O114" i="2"/>
  <c r="N114" i="2"/>
  <c r="O113" i="2"/>
  <c r="N113" i="2"/>
  <c r="O112" i="2"/>
  <c r="N112" i="2"/>
  <c r="O110" i="2"/>
  <c r="N110" i="2"/>
  <c r="O109" i="2"/>
  <c r="N109" i="2"/>
  <c r="K109" i="2"/>
  <c r="J109" i="2"/>
  <c r="K134" i="2"/>
  <c r="J134" i="2"/>
  <c r="K133" i="2"/>
  <c r="J133" i="2"/>
  <c r="K132" i="2"/>
  <c r="J132" i="2"/>
  <c r="K131" i="2"/>
  <c r="J131" i="2"/>
  <c r="K129" i="2"/>
  <c r="J129" i="2"/>
  <c r="K128" i="2"/>
  <c r="J128" i="2"/>
  <c r="K127" i="2"/>
  <c r="J127" i="2"/>
  <c r="K126" i="2"/>
  <c r="J126" i="2"/>
  <c r="K124" i="2"/>
  <c r="J124" i="2"/>
  <c r="K123" i="2"/>
  <c r="J123" i="2"/>
  <c r="K122" i="2"/>
  <c r="J122" i="2"/>
  <c r="K121" i="2"/>
  <c r="J121" i="2"/>
  <c r="K119" i="2"/>
  <c r="J119" i="2"/>
  <c r="K118" i="2"/>
  <c r="J118" i="2"/>
  <c r="K117" i="2"/>
  <c r="J117" i="2"/>
  <c r="K116" i="2"/>
  <c r="J116" i="2"/>
  <c r="K114" i="2"/>
  <c r="J114" i="2"/>
  <c r="K113" i="2"/>
  <c r="J113" i="2"/>
  <c r="K112" i="2"/>
  <c r="J112" i="2"/>
  <c r="K110" i="2"/>
  <c r="J110" i="2"/>
  <c r="AV56" i="1"/>
  <c r="K33" i="1"/>
  <c r="AH31" i="1"/>
  <c r="AG28" i="1"/>
  <c r="AH26" i="1"/>
  <c r="Y14" i="1"/>
  <c r="O17" i="1"/>
  <c r="AY45" i="1" s="1"/>
  <c r="O15" i="1"/>
  <c r="O14" i="1"/>
  <c r="Z9" i="1"/>
  <c r="Z7" i="1"/>
  <c r="Q7" i="1"/>
  <c r="K7" i="1"/>
  <c r="L8" i="1"/>
  <c r="L10" i="1"/>
  <c r="J55" i="4"/>
  <c r="J32" i="4"/>
  <c r="AG30" i="4"/>
  <c r="AF27" i="4"/>
  <c r="AG25" i="4"/>
  <c r="O17" i="4"/>
  <c r="O15" i="4"/>
  <c r="AI10" i="4"/>
  <c r="AI8" i="4"/>
  <c r="AI7" i="4"/>
  <c r="X7" i="4"/>
  <c r="P8" i="4"/>
  <c r="J8" i="4"/>
  <c r="K11" i="4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Q55" i="1" s="1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AC1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E50" i="1" l="1"/>
  <c r="AV54" i="6"/>
  <c r="AV53" i="6"/>
  <c r="P54" i="6"/>
  <c r="P53" i="6"/>
  <c r="AH60" i="17"/>
  <c r="BD70" i="17" s="1"/>
  <c r="AH45" i="17"/>
  <c r="I3" i="17"/>
  <c r="AH59" i="17" s="1"/>
  <c r="BD69" i="17" s="1"/>
  <c r="L3" i="17"/>
  <c r="N3" i="17" s="1"/>
  <c r="AA70" i="17" s="1"/>
  <c r="AE70" i="17" s="1"/>
  <c r="O104" i="17"/>
  <c r="O81" i="17"/>
  <c r="M138" i="17"/>
  <c r="M93" i="17"/>
  <c r="M108" i="17"/>
  <c r="M76" i="17"/>
  <c r="M64" i="17"/>
  <c r="M73" i="17"/>
  <c r="M105" i="17"/>
  <c r="M70" i="17"/>
  <c r="M37" i="17"/>
  <c r="M21" i="17"/>
  <c r="M6" i="17"/>
  <c r="M5" i="17"/>
  <c r="M114" i="17"/>
  <c r="M29" i="17"/>
  <c r="M109" i="17"/>
  <c r="M143" i="17"/>
  <c r="M82" i="17"/>
  <c r="M26" i="17"/>
  <c r="M90" i="17"/>
  <c r="M28" i="17"/>
  <c r="M136" i="17"/>
  <c r="M65" i="17"/>
  <c r="M121" i="17"/>
  <c r="M129" i="17"/>
  <c r="M31" i="17"/>
  <c r="M94" i="17"/>
  <c r="M66" i="17"/>
  <c r="M106" i="17"/>
  <c r="M42" i="17"/>
  <c r="M100" i="17"/>
  <c r="M103" i="17"/>
  <c r="M77" i="17"/>
  <c r="M95" i="17"/>
  <c r="M74" i="17"/>
  <c r="M39" i="17"/>
  <c r="M13" i="17"/>
  <c r="M139" i="17"/>
  <c r="M52" i="17"/>
  <c r="M118" i="17"/>
  <c r="M60" i="17"/>
  <c r="M16" i="17"/>
  <c r="M33" i="17"/>
  <c r="M49" i="17"/>
  <c r="M41" i="17"/>
  <c r="M40" i="17"/>
  <c r="M72" i="17"/>
  <c r="M80" i="17"/>
  <c r="M120" i="17"/>
  <c r="M46" i="17"/>
  <c r="M44" i="17"/>
  <c r="M110" i="17"/>
  <c r="M111" i="17"/>
  <c r="M115" i="17"/>
  <c r="M36" i="17"/>
  <c r="M142" i="17"/>
  <c r="M47" i="17"/>
  <c r="M43" i="17"/>
  <c r="M102" i="17"/>
  <c r="M38" i="17"/>
  <c r="M132" i="17"/>
  <c r="M116" i="17"/>
  <c r="M7" i="17"/>
  <c r="M98" i="17"/>
  <c r="M19" i="17"/>
  <c r="M128" i="17"/>
  <c r="M25" i="17"/>
  <c r="M135" i="17"/>
  <c r="M127" i="17"/>
  <c r="M126" i="17"/>
  <c r="M27" i="17"/>
  <c r="M62" i="17"/>
  <c r="M12" i="17"/>
  <c r="M45" i="17"/>
  <c r="M79" i="17"/>
  <c r="M50" i="17"/>
  <c r="M14" i="17"/>
  <c r="M123" i="17"/>
  <c r="M71" i="17"/>
  <c r="M101" i="17"/>
  <c r="M59" i="17"/>
  <c r="M67" i="17"/>
  <c r="M85" i="17"/>
  <c r="M137" i="17"/>
  <c r="M9" i="17"/>
  <c r="M96" i="17"/>
  <c r="M112" i="17"/>
  <c r="M35" i="17"/>
  <c r="M84" i="17"/>
  <c r="M125" i="17"/>
  <c r="M86" i="17"/>
  <c r="M23" i="17"/>
  <c r="M20" i="17"/>
  <c r="M54" i="17"/>
  <c r="M99" i="17"/>
  <c r="M63" i="17"/>
  <c r="M22" i="17"/>
  <c r="M78" i="17"/>
  <c r="M18" i="17"/>
  <c r="M4" i="17"/>
  <c r="M30" i="17"/>
  <c r="M34" i="17"/>
  <c r="M58" i="17"/>
  <c r="M124" i="17"/>
  <c r="M130" i="17"/>
  <c r="M48" i="17"/>
  <c r="M24" i="17"/>
  <c r="M113" i="17"/>
  <c r="M17" i="17"/>
  <c r="M69" i="17"/>
  <c r="M83" i="17"/>
  <c r="M97" i="17"/>
  <c r="M117" i="17"/>
  <c r="M11" i="17"/>
  <c r="M122" i="17"/>
  <c r="M88" i="17"/>
  <c r="M141" i="17"/>
  <c r="M119" i="17"/>
  <c r="M51" i="17"/>
  <c r="M131" i="17"/>
  <c r="M55" i="17"/>
  <c r="M133" i="17"/>
  <c r="M92" i="17"/>
  <c r="M32" i="17"/>
  <c r="M61" i="17"/>
  <c r="M57" i="17"/>
  <c r="M89" i="17"/>
  <c r="M87" i="17"/>
  <c r="M8" i="17"/>
  <c r="M75" i="17"/>
  <c r="M68" i="17"/>
  <c r="M134" i="17"/>
  <c r="M10" i="17"/>
  <c r="M91" i="17"/>
  <c r="M53" i="17"/>
  <c r="AA69" i="17" s="1"/>
  <c r="AL69" i="17" s="1"/>
  <c r="M107" i="17"/>
  <c r="M15" i="17"/>
  <c r="M140" i="17"/>
  <c r="M56" i="17"/>
  <c r="Y15" i="1"/>
  <c r="BD60" i="17" l="1"/>
  <c r="BD59" i="17"/>
  <c r="O15" i="17"/>
  <c r="O8" i="17"/>
  <c r="O61" i="17"/>
  <c r="O141" i="17"/>
  <c r="O117" i="17"/>
  <c r="O17" i="17"/>
  <c r="O130" i="17"/>
  <c r="O30" i="17"/>
  <c r="O22" i="17"/>
  <c r="O20" i="17"/>
  <c r="O84" i="17"/>
  <c r="O9" i="17"/>
  <c r="O59" i="17"/>
  <c r="O14" i="17"/>
  <c r="O12" i="17"/>
  <c r="O127" i="17"/>
  <c r="O116" i="17"/>
  <c r="O43" i="17"/>
  <c r="O115" i="17"/>
  <c r="O46" i="17"/>
  <c r="O40" i="17"/>
  <c r="O16" i="17"/>
  <c r="O10" i="17"/>
  <c r="O55" i="17"/>
  <c r="K3" i="17"/>
  <c r="O139" i="17"/>
  <c r="O91" i="17"/>
  <c r="O57" i="17"/>
  <c r="O119" i="17"/>
  <c r="O69" i="17"/>
  <c r="O34" i="17"/>
  <c r="O54" i="17"/>
  <c r="P54" i="17" s="1"/>
  <c r="O96" i="17"/>
  <c r="O67" i="17"/>
  <c r="O123" i="17"/>
  <c r="O126" i="17"/>
  <c r="O128" i="17"/>
  <c r="O7" i="17"/>
  <c r="O102" i="17"/>
  <c r="O36" i="17"/>
  <c r="O44" i="17"/>
  <c r="O72" i="17"/>
  <c r="O33" i="17"/>
  <c r="O52" i="17"/>
  <c r="O74" i="17"/>
  <c r="O100" i="17"/>
  <c r="O94" i="17"/>
  <c r="O65" i="17"/>
  <c r="O26" i="17"/>
  <c r="O140" i="17"/>
  <c r="P139" i="17" s="1"/>
  <c r="O75" i="17"/>
  <c r="O133" i="17"/>
  <c r="O11" i="17"/>
  <c r="O48" i="17"/>
  <c r="O78" i="17"/>
  <c r="O45" i="17"/>
  <c r="O95" i="17"/>
  <c r="O42" i="17"/>
  <c r="O31" i="17"/>
  <c r="O136" i="17"/>
  <c r="O32" i="17"/>
  <c r="O113" i="17"/>
  <c r="O23" i="17"/>
  <c r="O50" i="17"/>
  <c r="O47" i="17"/>
  <c r="O60" i="17"/>
  <c r="O106" i="17"/>
  <c r="O82" i="17"/>
  <c r="P81" i="17" s="1"/>
  <c r="O114" i="17"/>
  <c r="O37" i="17"/>
  <c r="O107" i="17"/>
  <c r="O131" i="17"/>
  <c r="O124" i="17"/>
  <c r="O35" i="17"/>
  <c r="O62" i="17"/>
  <c r="O132" i="17"/>
  <c r="O120" i="17"/>
  <c r="O77" i="17"/>
  <c r="O28" i="17"/>
  <c r="O134" i="17"/>
  <c r="O87" i="17"/>
  <c r="O88" i="17"/>
  <c r="O97" i="17"/>
  <c r="O4" i="17"/>
  <c r="O63" i="17"/>
  <c r="O137" i="17"/>
  <c r="O101" i="17"/>
  <c r="P101" i="17" s="1"/>
  <c r="O135" i="17"/>
  <c r="O19" i="17"/>
  <c r="O111" i="17"/>
  <c r="O41" i="17"/>
  <c r="O13" i="17"/>
  <c r="O129" i="17"/>
  <c r="O29" i="17"/>
  <c r="O64" i="17"/>
  <c r="O143" i="17"/>
  <c r="P143" i="17" s="1"/>
  <c r="O5" i="17"/>
  <c r="O70" i="17"/>
  <c r="O21" i="17"/>
  <c r="O73" i="17"/>
  <c r="O56" i="17"/>
  <c r="O68" i="17"/>
  <c r="P68" i="17" s="1"/>
  <c r="O92" i="17"/>
  <c r="O122" i="17"/>
  <c r="O24" i="17"/>
  <c r="O18" i="17"/>
  <c r="O99" i="17"/>
  <c r="O86" i="17"/>
  <c r="O85" i="17"/>
  <c r="O71" i="17"/>
  <c r="O79" i="17"/>
  <c r="O27" i="17"/>
  <c r="O25" i="17"/>
  <c r="O98" i="17"/>
  <c r="O38" i="17"/>
  <c r="O142" i="17"/>
  <c r="O110" i="17"/>
  <c r="O80" i="17"/>
  <c r="P80" i="17" s="1"/>
  <c r="O49" i="17"/>
  <c r="O118" i="17"/>
  <c r="O39" i="17"/>
  <c r="O103" i="17"/>
  <c r="P103" i="17" s="1"/>
  <c r="O66" i="17"/>
  <c r="O121" i="17"/>
  <c r="O90" i="17"/>
  <c r="O109" i="17"/>
  <c r="O6" i="17"/>
  <c r="O105" i="17"/>
  <c r="O108" i="17"/>
  <c r="O53" i="17"/>
  <c r="O89" i="17"/>
  <c r="O51" i="17"/>
  <c r="P51" i="17" s="1"/>
  <c r="O83" i="17"/>
  <c r="O58" i="17"/>
  <c r="O112" i="17"/>
  <c r="O93" i="17"/>
  <c r="O138" i="17"/>
  <c r="O76" i="17"/>
  <c r="O125" i="17"/>
  <c r="P132" i="17" l="1"/>
  <c r="P119" i="17"/>
  <c r="P56" i="17"/>
  <c r="P90" i="17"/>
  <c r="P138" i="17"/>
  <c r="P6" i="17"/>
  <c r="P106" i="17"/>
  <c r="P127" i="17"/>
  <c r="P33" i="17"/>
  <c r="P12" i="17"/>
  <c r="P74" i="17"/>
  <c r="P11" i="17"/>
  <c r="P53" i="17"/>
  <c r="P69" i="17"/>
  <c r="P35" i="17"/>
  <c r="P44" i="17"/>
  <c r="P78" i="17"/>
  <c r="P21" i="17"/>
  <c r="P96" i="17"/>
  <c r="P47" i="17"/>
  <c r="M3" i="17"/>
  <c r="P10" i="17"/>
  <c r="P123" i="17"/>
  <c r="P73" i="17"/>
  <c r="P92" i="17"/>
  <c r="P118" i="17"/>
  <c r="P122" i="17"/>
  <c r="P133" i="17"/>
  <c r="P77" i="17"/>
  <c r="P125" i="17"/>
  <c r="P75" i="17"/>
  <c r="P98" i="17"/>
  <c r="P66" i="17"/>
  <c r="P140" i="17"/>
  <c r="P49" i="17"/>
  <c r="P46" i="17"/>
  <c r="P124" i="17"/>
  <c r="P42" i="17"/>
  <c r="P112" i="17"/>
  <c r="P36" i="17"/>
  <c r="P5" i="17"/>
  <c r="P14" i="17"/>
  <c r="P29" i="17"/>
  <c r="P72" i="17"/>
  <c r="P99" i="17"/>
  <c r="P16" i="17"/>
  <c r="P136" i="17"/>
  <c r="P23" i="17"/>
  <c r="P93" i="17"/>
  <c r="P100" i="17"/>
  <c r="P17" i="17"/>
  <c r="P110" i="17"/>
  <c r="P32" i="17"/>
  <c r="P61" i="17"/>
  <c r="P107" i="17"/>
  <c r="P129" i="17"/>
  <c r="P37" i="17"/>
  <c r="P115" i="17"/>
  <c r="P20" i="17"/>
  <c r="P9" i="17"/>
  <c r="P94" i="17"/>
  <c r="P64" i="17"/>
  <c r="P76" i="17"/>
  <c r="P25" i="17"/>
  <c r="P18" i="17"/>
  <c r="P114" i="17"/>
  <c r="P40" i="17"/>
  <c r="P59" i="17"/>
  <c r="P128" i="17"/>
  <c r="P71" i="17"/>
  <c r="P15" i="17"/>
  <c r="P43" i="17"/>
  <c r="P28" i="17"/>
  <c r="P117" i="17"/>
  <c r="P52" i="17"/>
  <c r="P82" i="17"/>
  <c r="P84" i="17"/>
  <c r="P31" i="17"/>
  <c r="P70" i="17"/>
  <c r="P22" i="17"/>
  <c r="P135" i="17"/>
  <c r="P62" i="17"/>
  <c r="P41" i="17"/>
  <c r="P60" i="17"/>
  <c r="P131" i="17"/>
  <c r="P88" i="17"/>
  <c r="P4" i="17"/>
  <c r="P87" i="17"/>
  <c r="P13" i="17"/>
  <c r="P95" i="17"/>
  <c r="P102" i="17"/>
  <c r="P8" i="17"/>
  <c r="P130" i="17"/>
  <c r="P67" i="17"/>
  <c r="P48" i="17"/>
  <c r="P120" i="17"/>
  <c r="P142" i="17"/>
  <c r="P63" i="17"/>
  <c r="P134" i="17"/>
  <c r="P34" i="17"/>
  <c r="P38" i="17"/>
  <c r="P86" i="17"/>
  <c r="P116" i="17"/>
  <c r="P137" i="17"/>
  <c r="P97" i="17"/>
  <c r="P7" i="17"/>
  <c r="P27" i="17"/>
  <c r="P113" i="17"/>
  <c r="P141" i="17"/>
  <c r="P126" i="17"/>
  <c r="P39" i="17"/>
  <c r="P19" i="17"/>
  <c r="P30" i="17"/>
  <c r="P45" i="17"/>
  <c r="P55" i="17"/>
  <c r="P50" i="17"/>
  <c r="P26" i="17"/>
  <c r="P24" i="17"/>
  <c r="P58" i="17"/>
  <c r="P57" i="17"/>
  <c r="P83" i="17"/>
  <c r="P111" i="17"/>
  <c r="P91" i="17"/>
  <c r="P85" i="17"/>
  <c r="P121" i="17"/>
  <c r="P89" i="17"/>
  <c r="P108" i="17"/>
  <c r="P65" i="17"/>
  <c r="P105" i="17"/>
  <c r="P104" i="17"/>
  <c r="P79" i="17"/>
  <c r="P109" i="17"/>
  <c r="O3" i="17" l="1"/>
  <c r="P3" i="17" s="1"/>
  <c r="B28" i="17" s="1"/>
  <c r="P481" i="10" l="1"/>
  <c r="O481" i="10"/>
  <c r="N481" i="10"/>
  <c r="P480" i="10"/>
  <c r="O480" i="10"/>
  <c r="N480" i="10"/>
  <c r="P479" i="10"/>
  <c r="O479" i="10"/>
  <c r="N479" i="10"/>
  <c r="P478" i="10"/>
  <c r="O478" i="10"/>
  <c r="N478" i="10"/>
  <c r="P477" i="10"/>
  <c r="O477" i="10"/>
  <c r="N477" i="10"/>
  <c r="P476" i="10"/>
  <c r="O476" i="10"/>
  <c r="N476" i="10"/>
  <c r="P475" i="10"/>
  <c r="O475" i="10"/>
  <c r="N475" i="10"/>
  <c r="P474" i="10"/>
  <c r="O474" i="10"/>
  <c r="N474" i="10"/>
  <c r="P473" i="10"/>
  <c r="O473" i="10"/>
  <c r="N473" i="10"/>
  <c r="P472" i="10"/>
  <c r="O472" i="10"/>
  <c r="N472" i="10"/>
  <c r="P471" i="10"/>
  <c r="O471" i="10"/>
  <c r="N471" i="10"/>
  <c r="P470" i="10"/>
  <c r="O470" i="10"/>
  <c r="N470" i="10"/>
  <c r="P469" i="10"/>
  <c r="O469" i="10"/>
  <c r="N469" i="10"/>
  <c r="P468" i="10"/>
  <c r="O468" i="10"/>
  <c r="N468" i="10"/>
  <c r="P467" i="10"/>
  <c r="O467" i="10"/>
  <c r="N467" i="10"/>
  <c r="P466" i="10"/>
  <c r="O466" i="10"/>
  <c r="N466" i="10"/>
  <c r="P465" i="10"/>
  <c r="O465" i="10"/>
  <c r="N465" i="10"/>
  <c r="P464" i="10"/>
  <c r="O464" i="10"/>
  <c r="N464" i="10"/>
  <c r="P463" i="10"/>
  <c r="O463" i="10"/>
  <c r="N463" i="10"/>
  <c r="P462" i="10"/>
  <c r="O462" i="10"/>
  <c r="N462" i="10"/>
  <c r="P461" i="10"/>
  <c r="O461" i="10"/>
  <c r="N461" i="10"/>
  <c r="P460" i="10"/>
  <c r="O460" i="10"/>
  <c r="N460" i="10"/>
  <c r="P459" i="10"/>
  <c r="O459" i="10"/>
  <c r="N459" i="10"/>
  <c r="P458" i="10"/>
  <c r="O458" i="10"/>
  <c r="N458" i="10"/>
  <c r="P457" i="10"/>
  <c r="O457" i="10"/>
  <c r="N457" i="10"/>
  <c r="P456" i="10"/>
  <c r="O456" i="10"/>
  <c r="N456" i="10"/>
  <c r="P455" i="10"/>
  <c r="O455" i="10"/>
  <c r="N455" i="10"/>
  <c r="P454" i="10"/>
  <c r="O454" i="10"/>
  <c r="N454" i="10"/>
  <c r="P453" i="10"/>
  <c r="O453" i="10"/>
  <c r="N453" i="10"/>
  <c r="P452" i="10"/>
  <c r="O452" i="10"/>
  <c r="N452" i="10"/>
  <c r="P451" i="10"/>
  <c r="O451" i="10"/>
  <c r="N451" i="10"/>
  <c r="P450" i="10"/>
  <c r="O450" i="10"/>
  <c r="N450" i="10"/>
  <c r="P449" i="10"/>
  <c r="O449" i="10"/>
  <c r="N449" i="10"/>
  <c r="P448" i="10"/>
  <c r="O448" i="10"/>
  <c r="N448" i="10"/>
  <c r="P447" i="10"/>
  <c r="O447" i="10"/>
  <c r="N447" i="10"/>
  <c r="P446" i="10"/>
  <c r="O446" i="10"/>
  <c r="N446" i="10"/>
  <c r="P445" i="10"/>
  <c r="O445" i="10"/>
  <c r="N445" i="10"/>
  <c r="P444" i="10"/>
  <c r="O444" i="10"/>
  <c r="N444" i="10"/>
  <c r="P443" i="10"/>
  <c r="O443" i="10"/>
  <c r="N443" i="10"/>
  <c r="P442" i="10"/>
  <c r="O442" i="10"/>
  <c r="N442" i="10"/>
  <c r="P441" i="10"/>
  <c r="O441" i="10"/>
  <c r="N441" i="10"/>
  <c r="P440" i="10"/>
  <c r="O440" i="10"/>
  <c r="N440" i="10"/>
  <c r="P439" i="10"/>
  <c r="O439" i="10"/>
  <c r="N439" i="10"/>
  <c r="P438" i="10"/>
  <c r="O438" i="10"/>
  <c r="N438" i="10"/>
  <c r="P437" i="10"/>
  <c r="O437" i="10"/>
  <c r="N437" i="10"/>
  <c r="P436" i="10"/>
  <c r="O436" i="10"/>
  <c r="N436" i="10"/>
  <c r="P435" i="10"/>
  <c r="O435" i="10"/>
  <c r="N435" i="10"/>
  <c r="P434" i="10"/>
  <c r="O434" i="10"/>
  <c r="N434" i="10"/>
  <c r="P433" i="10"/>
  <c r="O433" i="10"/>
  <c r="N433" i="10"/>
  <c r="P432" i="10"/>
  <c r="O432" i="10"/>
  <c r="N432" i="10"/>
  <c r="P431" i="10"/>
  <c r="O431" i="10"/>
  <c r="N431" i="10"/>
  <c r="P430" i="10"/>
  <c r="O430" i="10"/>
  <c r="N430" i="10"/>
  <c r="P429" i="10"/>
  <c r="O429" i="10"/>
  <c r="N429" i="10"/>
  <c r="P428" i="10"/>
  <c r="O428" i="10"/>
  <c r="N428" i="10"/>
  <c r="P427" i="10"/>
  <c r="O427" i="10"/>
  <c r="N427" i="10"/>
  <c r="P426" i="10"/>
  <c r="O426" i="10"/>
  <c r="N426" i="10"/>
  <c r="P425" i="10"/>
  <c r="O425" i="10"/>
  <c r="N425" i="10"/>
  <c r="P424" i="10"/>
  <c r="O424" i="10"/>
  <c r="N424" i="10"/>
  <c r="P423" i="10"/>
  <c r="O423" i="10"/>
  <c r="N423" i="10"/>
  <c r="P422" i="10"/>
  <c r="O422" i="10"/>
  <c r="N422" i="10"/>
  <c r="P421" i="10"/>
  <c r="O421" i="10"/>
  <c r="N421" i="10"/>
  <c r="P420" i="10"/>
  <c r="O420" i="10"/>
  <c r="N420" i="10"/>
  <c r="P419" i="10"/>
  <c r="O419" i="10"/>
  <c r="N419" i="10"/>
  <c r="P418" i="10"/>
  <c r="O418" i="10"/>
  <c r="N418" i="10"/>
  <c r="P417" i="10"/>
  <c r="O417" i="10"/>
  <c r="N417" i="10"/>
  <c r="P416" i="10"/>
  <c r="O416" i="10"/>
  <c r="N416" i="10"/>
  <c r="P415" i="10"/>
  <c r="O415" i="10"/>
  <c r="N415" i="10"/>
  <c r="P414" i="10"/>
  <c r="O414" i="10"/>
  <c r="N414" i="10"/>
  <c r="P413" i="10"/>
  <c r="O413" i="10"/>
  <c r="N413" i="10"/>
  <c r="P412" i="10"/>
  <c r="O412" i="10"/>
  <c r="N412" i="10"/>
  <c r="P411" i="10"/>
  <c r="O411" i="10"/>
  <c r="N411" i="10"/>
  <c r="P410" i="10"/>
  <c r="O410" i="10"/>
  <c r="N410" i="10"/>
  <c r="P409" i="10"/>
  <c r="O409" i="10"/>
  <c r="N409" i="10"/>
  <c r="P408" i="10"/>
  <c r="O408" i="10"/>
  <c r="N408" i="10"/>
  <c r="P407" i="10"/>
  <c r="O407" i="10"/>
  <c r="N407" i="10"/>
  <c r="P406" i="10"/>
  <c r="O406" i="10"/>
  <c r="N406" i="10"/>
  <c r="P405" i="10"/>
  <c r="O405" i="10"/>
  <c r="N405" i="10"/>
  <c r="P404" i="10"/>
  <c r="O404" i="10"/>
  <c r="N404" i="10"/>
  <c r="P403" i="10"/>
  <c r="O403" i="10"/>
  <c r="N403" i="10"/>
  <c r="P402" i="10"/>
  <c r="O402" i="10"/>
  <c r="N402" i="10"/>
  <c r="P401" i="10"/>
  <c r="O401" i="10"/>
  <c r="N401" i="10"/>
  <c r="P400" i="10"/>
  <c r="O400" i="10"/>
  <c r="N400" i="10"/>
  <c r="P399" i="10"/>
  <c r="O399" i="10"/>
  <c r="N399" i="10"/>
  <c r="P398" i="10"/>
  <c r="O398" i="10"/>
  <c r="N398" i="10"/>
  <c r="P397" i="10"/>
  <c r="O397" i="10"/>
  <c r="N397" i="10"/>
  <c r="P396" i="10"/>
  <c r="O396" i="10"/>
  <c r="N396" i="10"/>
  <c r="P395" i="10"/>
  <c r="O395" i="10"/>
  <c r="N395" i="10"/>
  <c r="P394" i="10"/>
  <c r="O394" i="10"/>
  <c r="N394" i="10"/>
  <c r="P393" i="10"/>
  <c r="O393" i="10"/>
  <c r="N393" i="10"/>
  <c r="P392" i="10"/>
  <c r="O392" i="10"/>
  <c r="N392" i="10"/>
  <c r="P391" i="10"/>
  <c r="O391" i="10"/>
  <c r="N391" i="10"/>
  <c r="P390" i="10"/>
  <c r="O390" i="10"/>
  <c r="N390" i="10"/>
  <c r="P389" i="10"/>
  <c r="O389" i="10"/>
  <c r="N389" i="10"/>
  <c r="P388" i="10"/>
  <c r="O388" i="10"/>
  <c r="N388" i="10"/>
  <c r="P387" i="10"/>
  <c r="O387" i="10"/>
  <c r="N387" i="10"/>
  <c r="P386" i="10"/>
  <c r="O386" i="10"/>
  <c r="N386" i="10"/>
  <c r="P385" i="10"/>
  <c r="O385" i="10"/>
  <c r="N385" i="10"/>
  <c r="P384" i="10"/>
  <c r="O384" i="10"/>
  <c r="N384" i="10"/>
  <c r="P383" i="10"/>
  <c r="O383" i="10"/>
  <c r="N383" i="10"/>
  <c r="P382" i="10"/>
  <c r="O382" i="10"/>
  <c r="N382" i="10"/>
  <c r="P381" i="10"/>
  <c r="O381" i="10"/>
  <c r="N381" i="10"/>
  <c r="P380" i="10"/>
  <c r="O380" i="10"/>
  <c r="N380" i="10"/>
  <c r="P379" i="10"/>
  <c r="O379" i="10"/>
  <c r="N379" i="10"/>
  <c r="P378" i="10"/>
  <c r="O378" i="10"/>
  <c r="N378" i="10"/>
  <c r="P377" i="10"/>
  <c r="O377" i="10"/>
  <c r="N377" i="10"/>
  <c r="P376" i="10"/>
  <c r="O376" i="10"/>
  <c r="N376" i="10"/>
  <c r="P375" i="10"/>
  <c r="O375" i="10"/>
  <c r="N375" i="10"/>
  <c r="P374" i="10"/>
  <c r="O374" i="10"/>
  <c r="N374" i="10"/>
  <c r="P373" i="10"/>
  <c r="O373" i="10"/>
  <c r="N373" i="10"/>
  <c r="P372" i="10"/>
  <c r="O372" i="10"/>
  <c r="N372" i="10"/>
  <c r="P371" i="10"/>
  <c r="O371" i="10"/>
  <c r="N371" i="10"/>
  <c r="P370" i="10"/>
  <c r="O370" i="10"/>
  <c r="N370" i="10"/>
  <c r="P369" i="10"/>
  <c r="O369" i="10"/>
  <c r="N369" i="10"/>
  <c r="P368" i="10"/>
  <c r="O368" i="10"/>
  <c r="N368" i="10"/>
  <c r="P367" i="10"/>
  <c r="O367" i="10"/>
  <c r="N367" i="10"/>
  <c r="P366" i="10"/>
  <c r="O366" i="10"/>
  <c r="N366" i="10"/>
  <c r="P365" i="10"/>
  <c r="O365" i="10"/>
  <c r="N365" i="10"/>
  <c r="P364" i="10"/>
  <c r="O364" i="10"/>
  <c r="N364" i="10"/>
  <c r="P363" i="10"/>
  <c r="O363" i="10"/>
  <c r="N363" i="10"/>
  <c r="P362" i="10"/>
  <c r="O362" i="10"/>
  <c r="N362" i="10"/>
  <c r="P361" i="10"/>
  <c r="O361" i="10"/>
  <c r="N361" i="10"/>
  <c r="P360" i="10"/>
  <c r="O360" i="10"/>
  <c r="N360" i="10"/>
  <c r="P359" i="10"/>
  <c r="O359" i="10"/>
  <c r="N359" i="10"/>
  <c r="P358" i="10"/>
  <c r="O358" i="10"/>
  <c r="N358" i="10"/>
  <c r="P357" i="10"/>
  <c r="O357" i="10"/>
  <c r="N357" i="10"/>
  <c r="P356" i="10"/>
  <c r="O356" i="10"/>
  <c r="N356" i="10"/>
  <c r="P355" i="10"/>
  <c r="O355" i="10"/>
  <c r="N355" i="10"/>
  <c r="P354" i="10"/>
  <c r="O354" i="10"/>
  <c r="N354" i="10"/>
  <c r="P353" i="10"/>
  <c r="O353" i="10"/>
  <c r="N353" i="10"/>
  <c r="P352" i="10"/>
  <c r="O352" i="10"/>
  <c r="N352" i="10"/>
  <c r="P351" i="10"/>
  <c r="O351" i="10"/>
  <c r="N351" i="10"/>
  <c r="P350" i="10"/>
  <c r="O350" i="10"/>
  <c r="N350" i="10"/>
  <c r="P349" i="10"/>
  <c r="O349" i="10"/>
  <c r="N349" i="10"/>
  <c r="P348" i="10"/>
  <c r="O348" i="10"/>
  <c r="N348" i="10"/>
  <c r="P347" i="10"/>
  <c r="O347" i="10"/>
  <c r="N347" i="10"/>
  <c r="P346" i="10"/>
  <c r="O346" i="10"/>
  <c r="N346" i="10"/>
  <c r="P345" i="10"/>
  <c r="O345" i="10"/>
  <c r="N345" i="10"/>
  <c r="P344" i="10"/>
  <c r="O344" i="10"/>
  <c r="N344" i="10"/>
  <c r="P343" i="10"/>
  <c r="O343" i="10"/>
  <c r="N343" i="10"/>
  <c r="P342" i="10"/>
  <c r="O342" i="10"/>
  <c r="N342" i="10"/>
  <c r="P341" i="10"/>
  <c r="O341" i="10"/>
  <c r="N341" i="10"/>
  <c r="P340" i="10"/>
  <c r="O340" i="10"/>
  <c r="N340" i="10"/>
  <c r="P339" i="10"/>
  <c r="O339" i="10"/>
  <c r="N339" i="10"/>
  <c r="P338" i="10"/>
  <c r="O338" i="10"/>
  <c r="N338" i="10"/>
  <c r="P337" i="10"/>
  <c r="O337" i="10"/>
  <c r="N337" i="10"/>
  <c r="P336" i="10"/>
  <c r="O336" i="10"/>
  <c r="N336" i="10"/>
  <c r="P335" i="10"/>
  <c r="O335" i="10"/>
  <c r="N335" i="10"/>
  <c r="P334" i="10"/>
  <c r="O334" i="10"/>
  <c r="N334" i="10"/>
  <c r="P333" i="10"/>
  <c r="O333" i="10"/>
  <c r="N333" i="10"/>
  <c r="P332" i="10"/>
  <c r="O332" i="10"/>
  <c r="N332" i="10"/>
  <c r="P331" i="10"/>
  <c r="O331" i="10"/>
  <c r="N331" i="10"/>
  <c r="P330" i="10"/>
  <c r="O330" i="10"/>
  <c r="N330" i="10"/>
  <c r="P329" i="10"/>
  <c r="O329" i="10"/>
  <c r="N329" i="10"/>
  <c r="P328" i="10"/>
  <c r="O328" i="10"/>
  <c r="N328" i="10"/>
  <c r="P327" i="10"/>
  <c r="O327" i="10"/>
  <c r="N327" i="10"/>
  <c r="P326" i="10"/>
  <c r="O326" i="10"/>
  <c r="N326" i="10"/>
  <c r="P325" i="10"/>
  <c r="O325" i="10"/>
  <c r="N325" i="10"/>
  <c r="P324" i="10"/>
  <c r="O324" i="10"/>
  <c r="N324" i="10"/>
  <c r="P323" i="10"/>
  <c r="O323" i="10"/>
  <c r="N323" i="10"/>
  <c r="P322" i="10"/>
  <c r="O322" i="10"/>
  <c r="N322" i="10"/>
  <c r="P321" i="10"/>
  <c r="O321" i="10"/>
  <c r="N321" i="10"/>
  <c r="P320" i="10"/>
  <c r="O320" i="10"/>
  <c r="N320" i="10"/>
  <c r="P319" i="10"/>
  <c r="O319" i="10"/>
  <c r="N319" i="10"/>
  <c r="P318" i="10"/>
  <c r="O318" i="10"/>
  <c r="N318" i="10"/>
  <c r="P317" i="10"/>
  <c r="O317" i="10"/>
  <c r="N317" i="10"/>
  <c r="P316" i="10"/>
  <c r="O316" i="10"/>
  <c r="N316" i="10"/>
  <c r="P315" i="10"/>
  <c r="O315" i="10"/>
  <c r="N315" i="10"/>
  <c r="P314" i="10"/>
  <c r="O314" i="10"/>
  <c r="N314" i="10"/>
  <c r="P313" i="10"/>
  <c r="O313" i="10"/>
  <c r="N313" i="10"/>
  <c r="P312" i="10"/>
  <c r="O312" i="10"/>
  <c r="N312" i="10"/>
  <c r="P311" i="10"/>
  <c r="O311" i="10"/>
  <c r="N311" i="10"/>
  <c r="P310" i="10"/>
  <c r="O310" i="10"/>
  <c r="N310" i="10"/>
  <c r="P309" i="10"/>
  <c r="O309" i="10"/>
  <c r="N309" i="10"/>
  <c r="P308" i="10"/>
  <c r="O308" i="10"/>
  <c r="N308" i="10"/>
  <c r="P307" i="10"/>
  <c r="O307" i="10"/>
  <c r="N307" i="10"/>
  <c r="P306" i="10"/>
  <c r="O306" i="10"/>
  <c r="N306" i="10"/>
  <c r="P305" i="10"/>
  <c r="O305" i="10"/>
  <c r="N305" i="10"/>
  <c r="P304" i="10"/>
  <c r="O304" i="10"/>
  <c r="N304" i="10"/>
  <c r="P303" i="10"/>
  <c r="O303" i="10"/>
  <c r="N303" i="10"/>
  <c r="P302" i="10"/>
  <c r="O302" i="10"/>
  <c r="N302" i="10"/>
  <c r="P301" i="10"/>
  <c r="O301" i="10"/>
  <c r="N301" i="10"/>
  <c r="P300" i="10"/>
  <c r="O300" i="10"/>
  <c r="N300" i="10"/>
  <c r="P299" i="10"/>
  <c r="O299" i="10"/>
  <c r="N299" i="10"/>
  <c r="P298" i="10"/>
  <c r="O298" i="10"/>
  <c r="N298" i="10"/>
  <c r="P297" i="10"/>
  <c r="O297" i="10"/>
  <c r="N297" i="10"/>
  <c r="P296" i="10"/>
  <c r="O296" i="10"/>
  <c r="N296" i="10"/>
  <c r="P295" i="10"/>
  <c r="O295" i="10"/>
  <c r="N295" i="10"/>
  <c r="P294" i="10"/>
  <c r="O294" i="10"/>
  <c r="N294" i="10"/>
  <c r="P293" i="10"/>
  <c r="O293" i="10"/>
  <c r="N293" i="10"/>
  <c r="P292" i="10"/>
  <c r="O292" i="10"/>
  <c r="N292" i="10"/>
  <c r="P291" i="10"/>
  <c r="O291" i="10"/>
  <c r="N291" i="10"/>
  <c r="P290" i="10"/>
  <c r="O290" i="10"/>
  <c r="N290" i="10"/>
  <c r="P289" i="10"/>
  <c r="O289" i="10"/>
  <c r="N289" i="10"/>
  <c r="P288" i="10"/>
  <c r="O288" i="10"/>
  <c r="N288" i="10"/>
  <c r="P287" i="10"/>
  <c r="O287" i="10"/>
  <c r="N287" i="10"/>
  <c r="P286" i="10"/>
  <c r="O286" i="10"/>
  <c r="N286" i="10"/>
  <c r="P285" i="10"/>
  <c r="O285" i="10"/>
  <c r="N285" i="10"/>
  <c r="P284" i="10"/>
  <c r="O284" i="10"/>
  <c r="N284" i="10"/>
  <c r="P283" i="10"/>
  <c r="O283" i="10"/>
  <c r="N283" i="10"/>
  <c r="P282" i="10"/>
  <c r="O282" i="10"/>
  <c r="N282" i="10"/>
  <c r="P281" i="10"/>
  <c r="O281" i="10"/>
  <c r="N281" i="10"/>
  <c r="P280" i="10"/>
  <c r="O280" i="10"/>
  <c r="N280" i="10"/>
  <c r="P279" i="10"/>
  <c r="O279" i="10"/>
  <c r="N279" i="10"/>
  <c r="P278" i="10"/>
  <c r="O278" i="10"/>
  <c r="N278" i="10"/>
  <c r="P277" i="10"/>
  <c r="O277" i="10"/>
  <c r="N277" i="10"/>
  <c r="P276" i="10"/>
  <c r="O276" i="10"/>
  <c r="N276" i="10"/>
  <c r="P275" i="10"/>
  <c r="O275" i="10"/>
  <c r="N275" i="10"/>
  <c r="P274" i="10"/>
  <c r="O274" i="10"/>
  <c r="N274" i="10"/>
  <c r="P273" i="10"/>
  <c r="O273" i="10"/>
  <c r="N273" i="10"/>
  <c r="P272" i="10"/>
  <c r="O272" i="10"/>
  <c r="N272" i="10"/>
  <c r="P271" i="10"/>
  <c r="O271" i="10"/>
  <c r="N271" i="10"/>
  <c r="P270" i="10"/>
  <c r="O270" i="10"/>
  <c r="N270" i="10"/>
  <c r="P269" i="10"/>
  <c r="O269" i="10"/>
  <c r="N269" i="10"/>
  <c r="P268" i="10"/>
  <c r="O268" i="10"/>
  <c r="N268" i="10"/>
  <c r="P267" i="10"/>
  <c r="O267" i="10"/>
  <c r="N267" i="10"/>
  <c r="P266" i="10"/>
  <c r="O266" i="10"/>
  <c r="N266" i="10"/>
  <c r="P265" i="10"/>
  <c r="O265" i="10"/>
  <c r="N265" i="10"/>
  <c r="P264" i="10"/>
  <c r="O264" i="10"/>
  <c r="N264" i="10"/>
  <c r="P263" i="10"/>
  <c r="O263" i="10"/>
  <c r="N263" i="10"/>
  <c r="P262" i="10"/>
  <c r="O262" i="10"/>
  <c r="N262" i="10"/>
  <c r="P261" i="10"/>
  <c r="O261" i="10"/>
  <c r="N261" i="10"/>
  <c r="P260" i="10"/>
  <c r="O260" i="10"/>
  <c r="N260" i="10"/>
  <c r="P259" i="10"/>
  <c r="O259" i="10"/>
  <c r="N259" i="10"/>
  <c r="P258" i="10"/>
  <c r="O258" i="10"/>
  <c r="N258" i="10"/>
  <c r="P257" i="10"/>
  <c r="O257" i="10"/>
  <c r="N257" i="10"/>
  <c r="P256" i="10"/>
  <c r="O256" i="10"/>
  <c r="N256" i="10"/>
  <c r="P255" i="10"/>
  <c r="O255" i="10"/>
  <c r="N255" i="10"/>
  <c r="P254" i="10"/>
  <c r="O254" i="10"/>
  <c r="N254" i="10"/>
  <c r="P253" i="10"/>
  <c r="O253" i="10"/>
  <c r="N253" i="10"/>
  <c r="P252" i="10"/>
  <c r="O252" i="10"/>
  <c r="N252" i="10"/>
  <c r="P251" i="10"/>
  <c r="O251" i="10"/>
  <c r="N251" i="10"/>
  <c r="P250" i="10"/>
  <c r="O250" i="10"/>
  <c r="N250" i="10"/>
  <c r="P249" i="10"/>
  <c r="O249" i="10"/>
  <c r="N249" i="10"/>
  <c r="P248" i="10"/>
  <c r="O248" i="10"/>
  <c r="N248" i="10"/>
  <c r="P247" i="10"/>
  <c r="O247" i="10"/>
  <c r="N247" i="10"/>
  <c r="P246" i="10"/>
  <c r="O246" i="10"/>
  <c r="N246" i="10"/>
  <c r="P245" i="10"/>
  <c r="O245" i="10"/>
  <c r="N245" i="10"/>
  <c r="P244" i="10"/>
  <c r="O244" i="10"/>
  <c r="N244" i="10"/>
  <c r="P243" i="10"/>
  <c r="O243" i="10"/>
  <c r="N243" i="10"/>
  <c r="P242" i="10"/>
  <c r="O242" i="10"/>
  <c r="N242" i="10"/>
  <c r="P241" i="10"/>
  <c r="O241" i="10"/>
  <c r="N241" i="10"/>
  <c r="P240" i="10"/>
  <c r="O240" i="10"/>
  <c r="N240" i="10"/>
  <c r="P239" i="10"/>
  <c r="O239" i="10"/>
  <c r="N239" i="10"/>
  <c r="P238" i="10"/>
  <c r="O238" i="10"/>
  <c r="N238" i="10"/>
  <c r="P237" i="10"/>
  <c r="O237" i="10"/>
  <c r="N237" i="10"/>
  <c r="P236" i="10"/>
  <c r="O236" i="10"/>
  <c r="N236" i="10"/>
  <c r="P235" i="10"/>
  <c r="O235" i="10"/>
  <c r="N235" i="10"/>
  <c r="P234" i="10"/>
  <c r="O234" i="10"/>
  <c r="N234" i="10"/>
  <c r="P233" i="10"/>
  <c r="O233" i="10"/>
  <c r="N233" i="10"/>
  <c r="P232" i="10"/>
  <c r="O232" i="10"/>
  <c r="N232" i="10"/>
  <c r="P231" i="10"/>
  <c r="O231" i="10"/>
  <c r="N231" i="10"/>
  <c r="P230" i="10"/>
  <c r="O230" i="10"/>
  <c r="N230" i="10"/>
  <c r="P229" i="10"/>
  <c r="O229" i="10"/>
  <c r="N229" i="10"/>
  <c r="P228" i="10"/>
  <c r="O228" i="10"/>
  <c r="N228" i="10"/>
  <c r="P227" i="10"/>
  <c r="O227" i="10"/>
  <c r="N227" i="10"/>
  <c r="P226" i="10"/>
  <c r="O226" i="10"/>
  <c r="N226" i="10"/>
  <c r="P225" i="10"/>
  <c r="O225" i="10"/>
  <c r="N225" i="10"/>
  <c r="P224" i="10"/>
  <c r="O224" i="10"/>
  <c r="N224" i="10"/>
  <c r="P223" i="10"/>
  <c r="O223" i="10"/>
  <c r="N223" i="10"/>
  <c r="P222" i="10"/>
  <c r="O222" i="10"/>
  <c r="N222" i="10"/>
  <c r="P221" i="10"/>
  <c r="O221" i="10"/>
  <c r="N221" i="10"/>
  <c r="P220" i="10"/>
  <c r="O220" i="10"/>
  <c r="N220" i="10"/>
  <c r="P219" i="10"/>
  <c r="O219" i="10"/>
  <c r="N219" i="10"/>
  <c r="P218" i="10"/>
  <c r="O218" i="10"/>
  <c r="N218" i="10"/>
  <c r="P217" i="10"/>
  <c r="O217" i="10"/>
  <c r="N217" i="10"/>
  <c r="P216" i="10"/>
  <c r="O216" i="10"/>
  <c r="N216" i="10"/>
  <c r="P215" i="10"/>
  <c r="O215" i="10"/>
  <c r="N215" i="10"/>
  <c r="P214" i="10"/>
  <c r="O214" i="10"/>
  <c r="N214" i="10"/>
  <c r="P213" i="10"/>
  <c r="O213" i="10"/>
  <c r="N213" i="10"/>
  <c r="P212" i="10"/>
  <c r="O212" i="10"/>
  <c r="N212" i="10"/>
  <c r="P211" i="10"/>
  <c r="O211" i="10"/>
  <c r="N211" i="10"/>
  <c r="P210" i="10"/>
  <c r="O210" i="10"/>
  <c r="N210" i="10"/>
  <c r="P209" i="10"/>
  <c r="O209" i="10"/>
  <c r="N209" i="10"/>
  <c r="P208" i="10"/>
  <c r="O208" i="10"/>
  <c r="N208" i="10"/>
  <c r="P207" i="10"/>
  <c r="O207" i="10"/>
  <c r="N207" i="10"/>
  <c r="P206" i="10"/>
  <c r="O206" i="10"/>
  <c r="N206" i="10"/>
  <c r="P205" i="10"/>
  <c r="O205" i="10"/>
  <c r="N205" i="10"/>
  <c r="P204" i="10"/>
  <c r="O204" i="10"/>
  <c r="N204" i="10"/>
  <c r="P203" i="10"/>
  <c r="O203" i="10"/>
  <c r="N203" i="10"/>
  <c r="P202" i="10"/>
  <c r="O202" i="10"/>
  <c r="N202" i="10"/>
  <c r="P201" i="10"/>
  <c r="O201" i="10"/>
  <c r="N201" i="10"/>
  <c r="P200" i="10"/>
  <c r="O200" i="10"/>
  <c r="N200" i="10"/>
  <c r="P199" i="10"/>
  <c r="O199" i="10"/>
  <c r="N199" i="10"/>
  <c r="P198" i="10"/>
  <c r="O198" i="10"/>
  <c r="N198" i="10"/>
  <c r="P197" i="10"/>
  <c r="O197" i="10"/>
  <c r="N197" i="10"/>
  <c r="P196" i="10"/>
  <c r="O196" i="10"/>
  <c r="N196" i="10"/>
  <c r="P195" i="10"/>
  <c r="O195" i="10"/>
  <c r="N195" i="10"/>
  <c r="P194" i="10"/>
  <c r="O194" i="10"/>
  <c r="N194" i="10"/>
  <c r="P193" i="10"/>
  <c r="O193" i="10"/>
  <c r="N193" i="10"/>
  <c r="P192" i="10"/>
  <c r="O192" i="10"/>
  <c r="N192" i="10"/>
  <c r="P191" i="10"/>
  <c r="O191" i="10"/>
  <c r="N191" i="10"/>
  <c r="P190" i="10"/>
  <c r="O190" i="10"/>
  <c r="N190" i="10"/>
  <c r="P189" i="10"/>
  <c r="O189" i="10"/>
  <c r="N189" i="10"/>
  <c r="P188" i="10"/>
  <c r="O188" i="10"/>
  <c r="N188" i="10"/>
  <c r="P187" i="10"/>
  <c r="O187" i="10"/>
  <c r="N187" i="10"/>
  <c r="P186" i="10"/>
  <c r="O186" i="10"/>
  <c r="N186" i="10"/>
  <c r="P185" i="10"/>
  <c r="O185" i="10"/>
  <c r="N185" i="10"/>
  <c r="P184" i="10"/>
  <c r="O184" i="10"/>
  <c r="N184" i="10"/>
  <c r="P183" i="10"/>
  <c r="O183" i="10"/>
  <c r="N183" i="10"/>
  <c r="P182" i="10"/>
  <c r="O182" i="10"/>
  <c r="N182" i="10"/>
  <c r="P181" i="10"/>
  <c r="O181" i="10"/>
  <c r="N181" i="10"/>
  <c r="P180" i="10"/>
  <c r="O180" i="10"/>
  <c r="N180" i="10"/>
  <c r="P179" i="10"/>
  <c r="O179" i="10"/>
  <c r="N179" i="10"/>
  <c r="P178" i="10"/>
  <c r="O178" i="10"/>
  <c r="N178" i="10"/>
  <c r="P177" i="10"/>
  <c r="O177" i="10"/>
  <c r="N177" i="10"/>
  <c r="P176" i="10"/>
  <c r="O176" i="10"/>
  <c r="N176" i="10"/>
  <c r="P175" i="10"/>
  <c r="O175" i="10"/>
  <c r="N175" i="10"/>
  <c r="P174" i="10"/>
  <c r="O174" i="10"/>
  <c r="N174" i="10"/>
  <c r="P173" i="10"/>
  <c r="O173" i="10"/>
  <c r="N173" i="10"/>
  <c r="P172" i="10"/>
  <c r="O172" i="10"/>
  <c r="N172" i="10"/>
  <c r="P171" i="10"/>
  <c r="O171" i="10"/>
  <c r="N171" i="10"/>
  <c r="P170" i="10"/>
  <c r="O170" i="10"/>
  <c r="N170" i="10"/>
  <c r="P169" i="10"/>
  <c r="O169" i="10"/>
  <c r="N169" i="10"/>
  <c r="P168" i="10"/>
  <c r="O168" i="10"/>
  <c r="N168" i="10"/>
  <c r="P167" i="10"/>
  <c r="O167" i="10"/>
  <c r="N167" i="10"/>
  <c r="P166" i="10"/>
  <c r="O166" i="10"/>
  <c r="N166" i="10"/>
  <c r="P165" i="10"/>
  <c r="O165" i="10"/>
  <c r="N165" i="10"/>
  <c r="P164" i="10"/>
  <c r="O164" i="10"/>
  <c r="N164" i="10"/>
  <c r="P163" i="10"/>
  <c r="O163" i="10"/>
  <c r="N163" i="10"/>
  <c r="P162" i="10"/>
  <c r="O162" i="10"/>
  <c r="N162" i="10"/>
  <c r="P161" i="10"/>
  <c r="O161" i="10"/>
  <c r="N161" i="10"/>
  <c r="P160" i="10"/>
  <c r="O160" i="10"/>
  <c r="N160" i="10"/>
  <c r="P159" i="10"/>
  <c r="O159" i="10"/>
  <c r="N159" i="10"/>
  <c r="P158" i="10"/>
  <c r="O158" i="10"/>
  <c r="N158" i="10"/>
  <c r="P157" i="10"/>
  <c r="O157" i="10"/>
  <c r="N157" i="10"/>
  <c r="P156" i="10"/>
  <c r="O156" i="10"/>
  <c r="N156" i="10"/>
  <c r="P155" i="10"/>
  <c r="O155" i="10"/>
  <c r="N155" i="10"/>
  <c r="P154" i="10"/>
  <c r="O154" i="10"/>
  <c r="N154" i="10"/>
  <c r="P153" i="10"/>
  <c r="O153" i="10"/>
  <c r="N153" i="10"/>
  <c r="P152" i="10"/>
  <c r="O152" i="10"/>
  <c r="N152" i="10"/>
  <c r="P151" i="10"/>
  <c r="O151" i="10"/>
  <c r="N151" i="10"/>
  <c r="P150" i="10"/>
  <c r="O150" i="10"/>
  <c r="N150" i="10"/>
  <c r="P149" i="10"/>
  <c r="O149" i="10"/>
  <c r="N149" i="10"/>
  <c r="P148" i="10"/>
  <c r="O148" i="10"/>
  <c r="N148" i="10"/>
  <c r="P147" i="10"/>
  <c r="O147" i="10"/>
  <c r="N147" i="10"/>
  <c r="P146" i="10"/>
  <c r="O146" i="10"/>
  <c r="N146" i="10"/>
  <c r="P145" i="10"/>
  <c r="O145" i="10"/>
  <c r="N145" i="10"/>
  <c r="P144" i="10"/>
  <c r="O144" i="10"/>
  <c r="N144" i="10"/>
  <c r="P143" i="10"/>
  <c r="O143" i="10"/>
  <c r="N143" i="10"/>
  <c r="P142" i="10"/>
  <c r="O142" i="10"/>
  <c r="N142" i="10"/>
  <c r="P141" i="10"/>
  <c r="O141" i="10"/>
  <c r="N141" i="10"/>
  <c r="P140" i="10"/>
  <c r="O140" i="10"/>
  <c r="N140" i="10"/>
  <c r="P139" i="10"/>
  <c r="O139" i="10"/>
  <c r="N139" i="10"/>
  <c r="P138" i="10"/>
  <c r="O138" i="10"/>
  <c r="N138" i="10"/>
  <c r="P137" i="10"/>
  <c r="O137" i="10"/>
  <c r="N137" i="10"/>
  <c r="P136" i="10"/>
  <c r="O136" i="10"/>
  <c r="N136" i="10"/>
  <c r="P135" i="10"/>
  <c r="O135" i="10"/>
  <c r="N135" i="10"/>
  <c r="P134" i="10"/>
  <c r="O134" i="10"/>
  <c r="N134" i="10"/>
  <c r="P133" i="10"/>
  <c r="O133" i="10"/>
  <c r="N133" i="10"/>
  <c r="P132" i="10"/>
  <c r="O132" i="10"/>
  <c r="N132" i="10"/>
  <c r="P131" i="10"/>
  <c r="O131" i="10"/>
  <c r="N131" i="10"/>
  <c r="P130" i="10"/>
  <c r="O130" i="10"/>
  <c r="N130" i="10"/>
  <c r="P129" i="10"/>
  <c r="O129" i="10"/>
  <c r="N129" i="10"/>
  <c r="P128" i="10"/>
  <c r="O128" i="10"/>
  <c r="N128" i="10"/>
  <c r="P127" i="10"/>
  <c r="O127" i="10"/>
  <c r="N127" i="10"/>
  <c r="P126" i="10"/>
  <c r="O126" i="10"/>
  <c r="N126" i="10"/>
  <c r="P125" i="10"/>
  <c r="O125" i="10"/>
  <c r="N125" i="10"/>
  <c r="P124" i="10"/>
  <c r="O124" i="10"/>
  <c r="N124" i="10"/>
  <c r="P123" i="10"/>
  <c r="O123" i="10"/>
  <c r="N123" i="10"/>
  <c r="P122" i="10"/>
  <c r="O122" i="10"/>
  <c r="N122" i="10"/>
  <c r="P121" i="10"/>
  <c r="O121" i="10"/>
  <c r="N121" i="10"/>
  <c r="P120" i="10"/>
  <c r="O120" i="10"/>
  <c r="N120" i="10"/>
  <c r="P119" i="10"/>
  <c r="O119" i="10"/>
  <c r="N119" i="10"/>
  <c r="P118" i="10"/>
  <c r="O118" i="10"/>
  <c r="N118" i="10"/>
  <c r="P117" i="10"/>
  <c r="O117" i="10"/>
  <c r="N117" i="10"/>
  <c r="P116" i="10"/>
  <c r="O116" i="10"/>
  <c r="N116" i="10"/>
  <c r="P115" i="10"/>
  <c r="O115" i="10"/>
  <c r="N115" i="10"/>
  <c r="P114" i="10"/>
  <c r="O114" i="10"/>
  <c r="N114" i="10"/>
  <c r="P113" i="10"/>
  <c r="O113" i="10"/>
  <c r="N113" i="10"/>
  <c r="P112" i="10"/>
  <c r="O112" i="10"/>
  <c r="N112" i="10"/>
  <c r="P111" i="10"/>
  <c r="O111" i="10"/>
  <c r="N111" i="10"/>
  <c r="P110" i="10"/>
  <c r="O110" i="10"/>
  <c r="N110" i="10"/>
  <c r="P109" i="10"/>
  <c r="O109" i="10"/>
  <c r="N109" i="10"/>
  <c r="P108" i="10"/>
  <c r="O108" i="10"/>
  <c r="N108" i="10"/>
  <c r="P107" i="10"/>
  <c r="O107" i="10"/>
  <c r="N107" i="10"/>
  <c r="P106" i="10"/>
  <c r="O106" i="10"/>
  <c r="N106" i="10"/>
  <c r="P105" i="10"/>
  <c r="O105" i="10"/>
  <c r="N105" i="10"/>
  <c r="P104" i="10"/>
  <c r="O104" i="10"/>
  <c r="N104" i="10"/>
  <c r="P103" i="10"/>
  <c r="O103" i="10"/>
  <c r="N103" i="10"/>
  <c r="P102" i="10"/>
  <c r="O102" i="10"/>
  <c r="N102" i="10"/>
  <c r="P101" i="10"/>
  <c r="O101" i="10"/>
  <c r="N101" i="10"/>
  <c r="P100" i="10"/>
  <c r="O100" i="10"/>
  <c r="N100" i="10"/>
  <c r="P99" i="10"/>
  <c r="O99" i="10"/>
  <c r="N99" i="10"/>
  <c r="P98" i="10"/>
  <c r="O98" i="10"/>
  <c r="N98" i="10"/>
  <c r="P97" i="10"/>
  <c r="O97" i="10"/>
  <c r="N97" i="10"/>
  <c r="P96" i="10"/>
  <c r="O96" i="10"/>
  <c r="N96" i="10"/>
  <c r="P95" i="10"/>
  <c r="O95" i="10"/>
  <c r="N95" i="10"/>
  <c r="P94" i="10"/>
  <c r="O94" i="10"/>
  <c r="N94" i="10"/>
  <c r="Q396" i="10" l="1"/>
  <c r="Q101" i="10"/>
  <c r="Q109" i="10"/>
  <c r="Q117" i="10"/>
  <c r="Q125" i="10"/>
  <c r="Q133" i="10"/>
  <c r="Q141" i="10"/>
  <c r="Q149" i="10"/>
  <c r="Q157" i="10"/>
  <c r="Q165" i="10"/>
  <c r="Q173" i="10"/>
  <c r="Q181" i="10"/>
  <c r="Q189" i="10"/>
  <c r="Q197" i="10"/>
  <c r="Q293" i="10"/>
  <c r="Q301" i="10"/>
  <c r="Q309" i="10"/>
  <c r="Q317" i="10"/>
  <c r="Q325" i="10"/>
  <c r="Q333" i="10"/>
  <c r="Q341" i="10"/>
  <c r="Q349" i="10"/>
  <c r="Q144" i="10"/>
  <c r="Q184" i="10"/>
  <c r="Q203" i="10"/>
  <c r="Q211" i="10"/>
  <c r="Q219" i="10"/>
  <c r="Q227" i="10"/>
  <c r="Q296" i="10"/>
  <c r="Q304" i="10"/>
  <c r="Q312" i="10"/>
  <c r="Q336" i="10"/>
  <c r="Q344" i="10"/>
  <c r="Q352" i="10"/>
  <c r="Q363" i="10"/>
  <c r="Q371" i="10"/>
  <c r="Q379" i="10"/>
  <c r="Q387" i="10"/>
  <c r="Q160" i="10"/>
  <c r="Q192" i="10"/>
  <c r="Q233" i="10"/>
  <c r="Q395" i="10"/>
  <c r="Q128" i="10"/>
  <c r="Q168" i="10"/>
  <c r="Q152" i="10"/>
  <c r="Q100" i="10"/>
  <c r="Q108" i="10"/>
  <c r="Q116" i="10"/>
  <c r="Q124" i="10"/>
  <c r="Q132" i="10"/>
  <c r="Q140" i="10"/>
  <c r="Q148" i="10"/>
  <c r="Q156" i="10"/>
  <c r="Q164" i="10"/>
  <c r="Q172" i="10"/>
  <c r="Q180" i="10"/>
  <c r="Q188" i="10"/>
  <c r="Q196" i="10"/>
  <c r="Q199" i="10"/>
  <c r="Q207" i="10"/>
  <c r="Q215" i="10"/>
  <c r="Q223" i="10"/>
  <c r="Q234" i="10"/>
  <c r="Q292" i="10"/>
  <c r="Q300" i="10"/>
  <c r="Q308" i="10"/>
  <c r="Q316" i="10"/>
  <c r="Q332" i="10"/>
  <c r="Q340" i="10"/>
  <c r="Q348" i="10"/>
  <c r="Q356" i="10"/>
  <c r="Q359" i="10"/>
  <c r="Q367" i="10"/>
  <c r="Q375" i="10"/>
  <c r="Q383" i="10"/>
  <c r="Q136" i="10"/>
  <c r="Q404" i="10"/>
  <c r="Q412" i="10"/>
  <c r="Q420" i="10"/>
  <c r="Q428" i="10"/>
  <c r="Q436" i="10"/>
  <c r="Q444" i="10"/>
  <c r="Q176" i="10"/>
  <c r="Q96" i="10"/>
  <c r="Q104" i="10"/>
  <c r="Q107" i="10"/>
  <c r="Q123" i="10"/>
  <c r="Q139" i="10"/>
  <c r="Q155" i="10"/>
  <c r="Q179" i="10"/>
  <c r="Q187" i="10"/>
  <c r="Q198" i="10"/>
  <c r="Q214" i="10"/>
  <c r="Q291" i="10"/>
  <c r="Q307" i="10"/>
  <c r="Q315" i="10"/>
  <c r="Q374" i="10"/>
  <c r="Q382" i="10"/>
  <c r="Q390" i="10"/>
  <c r="Q115" i="10"/>
  <c r="Q147" i="10"/>
  <c r="Q171" i="10"/>
  <c r="Q195" i="10"/>
  <c r="Q206" i="10"/>
  <c r="Q222" i="10"/>
  <c r="Q230" i="10"/>
  <c r="Q94" i="10"/>
  <c r="Q102" i="10"/>
  <c r="Q110" i="10"/>
  <c r="Q118" i="10"/>
  <c r="Q126" i="10"/>
  <c r="Q134" i="10"/>
  <c r="Q142" i="10"/>
  <c r="Q150" i="10"/>
  <c r="Q158" i="10"/>
  <c r="Q166" i="10"/>
  <c r="Q174" i="10"/>
  <c r="Q182" i="10"/>
  <c r="Q190" i="10"/>
  <c r="Q201" i="10"/>
  <c r="Q209" i="10"/>
  <c r="Q217" i="10"/>
  <c r="Q225" i="10"/>
  <c r="Q238" i="10"/>
  <c r="Q246" i="10"/>
  <c r="Q254" i="10"/>
  <c r="Q262" i="10"/>
  <c r="Q270" i="10"/>
  <c r="Q278" i="10"/>
  <c r="Q286" i="10"/>
  <c r="Q294" i="10"/>
  <c r="Q302" i="10"/>
  <c r="Q310" i="10"/>
  <c r="Q369" i="10"/>
  <c r="Q377" i="10"/>
  <c r="Q385" i="10"/>
  <c r="Q393" i="10"/>
  <c r="Q400" i="10"/>
  <c r="Q408" i="10"/>
  <c r="Q416" i="10"/>
  <c r="Q424" i="10"/>
  <c r="Q432" i="10"/>
  <c r="Q440" i="10"/>
  <c r="Q448" i="10"/>
  <c r="Q99" i="10"/>
  <c r="Q131" i="10"/>
  <c r="Q163" i="10"/>
  <c r="Q299" i="10"/>
  <c r="Q97" i="10"/>
  <c r="Q105" i="10"/>
  <c r="Q113" i="10"/>
  <c r="Q121" i="10"/>
  <c r="Q129" i="10"/>
  <c r="Q137" i="10"/>
  <c r="Q145" i="10"/>
  <c r="Q153" i="10"/>
  <c r="Q161" i="10"/>
  <c r="Q169" i="10"/>
  <c r="Q177" i="10"/>
  <c r="Q185" i="10"/>
  <c r="Q193" i="10"/>
  <c r="Q204" i="10"/>
  <c r="Q212" i="10"/>
  <c r="Q220" i="10"/>
  <c r="Q228" i="10"/>
  <c r="Q231" i="10"/>
  <c r="Q297" i="10"/>
  <c r="Q305" i="10"/>
  <c r="Q313" i="10"/>
  <c r="Q321" i="10"/>
  <c r="Q329" i="10"/>
  <c r="Q337" i="10"/>
  <c r="Q345" i="10"/>
  <c r="Q364" i="10"/>
  <c r="Q372" i="10"/>
  <c r="Q380" i="10"/>
  <c r="Q388" i="10"/>
  <c r="Q391" i="10"/>
  <c r="Q112" i="10"/>
  <c r="Q120" i="10"/>
  <c r="Q103" i="10"/>
  <c r="Q111" i="10"/>
  <c r="Q119" i="10"/>
  <c r="Q127" i="10"/>
  <c r="Q135" i="10"/>
  <c r="Q143" i="10"/>
  <c r="Q151" i="10"/>
  <c r="Q159" i="10"/>
  <c r="Q167" i="10"/>
  <c r="Q175" i="10"/>
  <c r="Q183" i="10"/>
  <c r="Q191" i="10"/>
  <c r="Q202" i="10"/>
  <c r="Q210" i="10"/>
  <c r="Q218" i="10"/>
  <c r="Q226" i="10"/>
  <c r="Q295" i="10"/>
  <c r="Q303" i="10"/>
  <c r="Q311" i="10"/>
  <c r="Q370" i="10"/>
  <c r="Q378" i="10"/>
  <c r="Q386" i="10"/>
  <c r="Q394" i="10"/>
  <c r="Q95" i="10"/>
  <c r="Q98" i="10"/>
  <c r="Q106" i="10"/>
  <c r="Q114" i="10"/>
  <c r="Q122" i="10"/>
  <c r="Q130" i="10"/>
  <c r="Q138" i="10"/>
  <c r="Q146" i="10"/>
  <c r="Q154" i="10"/>
  <c r="Q162" i="10"/>
  <c r="Q170" i="10"/>
  <c r="Q178" i="10"/>
  <c r="Q186" i="10"/>
  <c r="Q194" i="10"/>
  <c r="Q205" i="10"/>
  <c r="Q213" i="10"/>
  <c r="Q221" i="10"/>
  <c r="Q229" i="10"/>
  <c r="Q232" i="10"/>
  <c r="Q242" i="10"/>
  <c r="Q250" i="10"/>
  <c r="Q258" i="10"/>
  <c r="Q266" i="10"/>
  <c r="Q274" i="10"/>
  <c r="Q282" i="10"/>
  <c r="Q290" i="10"/>
  <c r="Q298" i="10"/>
  <c r="Q306" i="10"/>
  <c r="Q314" i="10"/>
  <c r="Q373" i="10"/>
  <c r="Q381" i="10"/>
  <c r="Q389" i="10"/>
  <c r="Q452" i="10"/>
  <c r="Q200" i="10"/>
  <c r="Q208" i="10"/>
  <c r="Q216" i="10"/>
  <c r="Q224" i="10"/>
  <c r="Q360" i="10"/>
  <c r="Q368" i="10"/>
  <c r="Q376" i="10"/>
  <c r="Q384" i="10"/>
  <c r="Q392" i="10"/>
  <c r="Q236" i="10"/>
  <c r="Q240" i="10"/>
  <c r="Q244" i="10"/>
  <c r="Q248" i="10"/>
  <c r="Q252" i="10"/>
  <c r="Q256" i="10"/>
  <c r="Q260" i="10"/>
  <c r="Q264" i="10"/>
  <c r="Q268" i="10"/>
  <c r="Q272" i="10"/>
  <c r="Q276" i="10"/>
  <c r="Q280" i="10"/>
  <c r="Q284" i="10"/>
  <c r="Q288" i="10"/>
  <c r="Q235" i="10"/>
  <c r="Q239" i="10"/>
  <c r="Q243" i="10"/>
  <c r="Q247" i="10"/>
  <c r="Q251" i="10"/>
  <c r="Q255" i="10"/>
  <c r="Q259" i="10"/>
  <c r="Q263" i="10"/>
  <c r="Q267" i="10"/>
  <c r="Q271" i="10"/>
  <c r="Q275" i="10"/>
  <c r="Q279" i="10"/>
  <c r="Q283" i="10"/>
  <c r="Q287" i="10"/>
  <c r="Q237" i="10"/>
  <c r="Q241" i="10"/>
  <c r="Q245" i="10"/>
  <c r="Q249" i="10"/>
  <c r="Q253" i="10"/>
  <c r="Q257" i="10"/>
  <c r="Q261" i="10"/>
  <c r="Q265" i="10"/>
  <c r="Q269" i="10"/>
  <c r="Q273" i="10"/>
  <c r="Q277" i="10"/>
  <c r="Q281" i="10"/>
  <c r="Q285" i="10"/>
  <c r="Q289" i="10"/>
  <c r="Q320" i="10"/>
  <c r="Q324" i="10"/>
  <c r="Q328" i="10"/>
  <c r="Q319" i="10"/>
  <c r="Q323" i="10"/>
  <c r="Q327" i="10"/>
  <c r="Q331" i="10"/>
  <c r="Q335" i="10"/>
  <c r="Q339" i="10"/>
  <c r="Q343" i="10"/>
  <c r="Q347" i="10"/>
  <c r="Q351" i="10"/>
  <c r="Q355" i="10"/>
  <c r="Q358" i="10"/>
  <c r="Q362" i="10"/>
  <c r="Q366" i="10"/>
  <c r="Q318" i="10"/>
  <c r="Q322" i="10"/>
  <c r="Q326" i="10"/>
  <c r="Q330" i="10"/>
  <c r="Q334" i="10"/>
  <c r="Q338" i="10"/>
  <c r="Q342" i="10"/>
  <c r="Q346" i="10"/>
  <c r="Q350" i="10"/>
  <c r="Q354" i="10"/>
  <c r="Q357" i="10"/>
  <c r="Q361" i="10"/>
  <c r="Q365" i="10"/>
  <c r="Q353" i="10"/>
  <c r="Q456" i="10"/>
  <c r="Q460" i="10"/>
  <c r="Q464" i="10"/>
  <c r="Q468" i="10"/>
  <c r="Q472" i="10"/>
  <c r="Q476" i="10"/>
  <c r="Q480" i="10"/>
  <c r="Q403" i="10"/>
  <c r="Q411" i="10"/>
  <c r="Q419" i="10"/>
  <c r="Q423" i="10"/>
  <c r="Q431" i="10"/>
  <c r="Q439" i="10"/>
  <c r="Q447" i="10"/>
  <c r="Q455" i="10"/>
  <c r="Q459" i="10"/>
  <c r="Q471" i="10"/>
  <c r="Q398" i="10"/>
  <c r="Q402" i="10"/>
  <c r="Q406" i="10"/>
  <c r="Q410" i="10"/>
  <c r="Q414" i="10"/>
  <c r="Q418" i="10"/>
  <c r="Q422" i="10"/>
  <c r="Q426" i="10"/>
  <c r="Q430" i="10"/>
  <c r="Q434" i="10"/>
  <c r="Q438" i="10"/>
  <c r="Q442" i="10"/>
  <c r="Q446" i="10"/>
  <c r="Q450" i="10"/>
  <c r="Q454" i="10"/>
  <c r="Q458" i="10"/>
  <c r="Q462" i="10"/>
  <c r="Q466" i="10"/>
  <c r="Q470" i="10"/>
  <c r="Q474" i="10"/>
  <c r="Q478" i="10"/>
  <c r="Q399" i="10"/>
  <c r="Q407" i="10"/>
  <c r="Q415" i="10"/>
  <c r="Q427" i="10"/>
  <c r="Q435" i="10"/>
  <c r="Q443" i="10"/>
  <c r="Q451" i="10"/>
  <c r="Q463" i="10"/>
  <c r="Q467" i="10"/>
  <c r="Q475" i="10"/>
  <c r="Q479" i="10"/>
  <c r="Q397" i="10"/>
  <c r="Q401" i="10"/>
  <c r="Q405" i="10"/>
  <c r="Q409" i="10"/>
  <c r="Q413" i="10"/>
  <c r="Q417" i="10"/>
  <c r="Q421" i="10"/>
  <c r="Q425" i="10"/>
  <c r="Q429" i="10"/>
  <c r="Q433" i="10"/>
  <c r="Q437" i="10"/>
  <c r="Q441" i="10"/>
  <c r="Q445" i="10"/>
  <c r="Q449" i="10"/>
  <c r="Q453" i="10"/>
  <c r="Q457" i="10"/>
  <c r="Q461" i="10"/>
  <c r="Q465" i="10"/>
  <c r="Q469" i="10"/>
  <c r="Q473" i="10"/>
  <c r="Q477" i="10"/>
  <c r="Q481" i="10"/>
  <c r="AY48" i="6" l="1"/>
  <c r="S48" i="6"/>
  <c r="AF100" i="2" l="1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AF2" i="2"/>
  <c r="AF1" i="2"/>
  <c r="AE1" i="2"/>
  <c r="O18" i="6"/>
  <c r="O17" i="6"/>
  <c r="J46" i="6"/>
  <c r="AE51" i="6"/>
  <c r="P61" i="6"/>
  <c r="AI19" i="6"/>
  <c r="AY14" i="6"/>
  <c r="S33" i="6"/>
  <c r="R46" i="6"/>
  <c r="Y13" i="6"/>
  <c r="AB33" i="6"/>
  <c r="Y17" i="6" l="1"/>
  <c r="AJ27" i="6" s="1"/>
  <c r="BD52" i="6"/>
  <c r="BD50" i="6"/>
  <c r="Z8" i="6"/>
  <c r="AP18" i="6" s="1"/>
  <c r="Y15" i="6"/>
  <c r="T34" i="6" l="1"/>
  <c r="S48" i="5" l="1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E2" i="2"/>
  <c r="O19" i="5" l="1"/>
  <c r="O18" i="5"/>
  <c r="AG51" i="5"/>
  <c r="P61" i="5"/>
  <c r="AI19" i="5"/>
  <c r="AY45" i="5"/>
  <c r="AY14" i="5"/>
  <c r="S33" i="5"/>
  <c r="R46" i="5"/>
  <c r="Y13" i="5"/>
  <c r="Q7" i="5"/>
  <c r="AF50" i="4"/>
  <c r="O60" i="4"/>
  <c r="AH15" i="4"/>
  <c r="AX13" i="4"/>
  <c r="AA32" i="4"/>
  <c r="K45" i="4"/>
  <c r="Q45" i="4"/>
  <c r="R32" i="4"/>
  <c r="X6" i="4"/>
  <c r="O16" i="4" s="1"/>
  <c r="AO18" i="4" s="1"/>
  <c r="P52" i="5" l="1"/>
  <c r="X11" i="4"/>
  <c r="AI26" i="4" s="1"/>
  <c r="Y17" i="5"/>
  <c r="AJ27" i="5" s="1"/>
  <c r="Z8" i="5"/>
  <c r="AP18" i="5" s="1"/>
  <c r="BD52" i="5"/>
  <c r="Y15" i="5"/>
  <c r="AB33" i="5"/>
  <c r="BB50" i="5"/>
  <c r="BA51" i="4"/>
  <c r="X8" i="4"/>
  <c r="F49" i="4"/>
  <c r="P54" i="5" l="1"/>
  <c r="P53" i="5"/>
  <c r="C12" i="4"/>
  <c r="C13" i="4"/>
  <c r="Z42" i="4" s="1"/>
  <c r="T34" i="5"/>
  <c r="S33" i="4"/>
  <c r="Z57" i="4" l="1"/>
  <c r="C14" i="4"/>
  <c r="Y61" i="4"/>
  <c r="AI6" i="4"/>
  <c r="AI9" i="4" s="1"/>
  <c r="O14" i="4" l="1"/>
  <c r="N18" i="4" s="1"/>
  <c r="AF39" i="4"/>
  <c r="AI11" i="4"/>
  <c r="AO17" i="4" l="1"/>
  <c r="AO20" i="4"/>
  <c r="X49" i="4"/>
  <c r="Y14" i="4"/>
  <c r="Y15" i="4" s="1"/>
  <c r="Y17" i="4" l="1"/>
  <c r="AH14" i="4" s="1"/>
  <c r="AJ16" i="4" s="1"/>
  <c r="AO19" i="4"/>
  <c r="O18" i="3" l="1"/>
  <c r="O17" i="3"/>
  <c r="AG51" i="3"/>
  <c r="S48" i="3"/>
  <c r="P61" i="3"/>
  <c r="AI19" i="3"/>
  <c r="AY14" i="3"/>
  <c r="S33" i="3"/>
  <c r="R46" i="3"/>
  <c r="Y13" i="3"/>
  <c r="AY14" i="1"/>
  <c r="AI19" i="1"/>
  <c r="Z8" i="3" l="1"/>
  <c r="AP18" i="3" s="1"/>
  <c r="P52" i="3"/>
  <c r="Y17" i="3"/>
  <c r="AJ27" i="3" s="1"/>
  <c r="BD50" i="3"/>
  <c r="BD52" i="3"/>
  <c r="Y15" i="3"/>
  <c r="T34" i="3" s="1"/>
  <c r="AB33" i="3"/>
  <c r="O18" i="1"/>
  <c r="S48" i="1"/>
  <c r="P54" i="3" l="1"/>
  <c r="P53" i="3"/>
  <c r="J100" i="2"/>
  <c r="J98" i="2"/>
  <c r="J97" i="2"/>
  <c r="J96" i="2"/>
  <c r="J95" i="2"/>
  <c r="J94" i="2"/>
  <c r="J93" i="2"/>
  <c r="J92" i="2"/>
  <c r="J91" i="2"/>
  <c r="R15" i="18" s="1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S53" i="1" s="1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AJ6" i="5" l="1"/>
  <c r="AB72" i="2"/>
  <c r="AA72" i="2"/>
  <c r="AB71" i="2"/>
  <c r="AA71" i="2"/>
  <c r="AB70" i="2"/>
  <c r="AA70" i="2"/>
  <c r="AB69" i="2"/>
  <c r="AA69" i="2"/>
  <c r="AB68" i="2"/>
  <c r="AA68" i="2"/>
  <c r="AB67" i="2"/>
  <c r="AA67" i="2"/>
  <c r="AB66" i="2"/>
  <c r="AA66" i="2"/>
  <c r="AB65" i="2"/>
  <c r="AA65" i="2"/>
  <c r="AB64" i="2"/>
  <c r="AA64" i="2"/>
  <c r="AB63" i="2"/>
  <c r="AA63" i="2"/>
  <c r="AB62" i="2"/>
  <c r="AA62" i="2"/>
  <c r="AB61" i="2"/>
  <c r="AA61" i="2"/>
  <c r="AB60" i="2"/>
  <c r="AA60" i="2"/>
  <c r="AB59" i="2"/>
  <c r="AA59" i="2"/>
  <c r="AB58" i="2"/>
  <c r="AA58" i="2"/>
  <c r="AB57" i="2"/>
  <c r="AA57" i="2"/>
  <c r="AB56" i="2"/>
  <c r="AA56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B48" i="2"/>
  <c r="AA48" i="2"/>
  <c r="AB47" i="2"/>
  <c r="AA47" i="2"/>
  <c r="AB46" i="2"/>
  <c r="AA46" i="2"/>
  <c r="AB45" i="2"/>
  <c r="AA45" i="2"/>
  <c r="AB44" i="2"/>
  <c r="AA44" i="2"/>
  <c r="AB43" i="2"/>
  <c r="AA43" i="2"/>
  <c r="AB42" i="2"/>
  <c r="AA42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S54" i="1" s="1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AA13" i="2"/>
  <c r="AB13" i="2"/>
  <c r="O13" i="2"/>
  <c r="N13" i="2"/>
  <c r="AJ6" i="3" l="1"/>
  <c r="AJ6" i="6"/>
  <c r="AG51" i="1"/>
  <c r="R46" i="1"/>
  <c r="AJ9" i="3" l="1"/>
  <c r="C25" i="3" s="1"/>
  <c r="C26" i="3" s="1"/>
  <c r="AJ9" i="5"/>
  <c r="C27" i="5" s="1"/>
  <c r="O13" i="5" s="1"/>
  <c r="AJ9" i="6"/>
  <c r="C40" i="6" s="1"/>
  <c r="P61" i="1"/>
  <c r="S33" i="1"/>
  <c r="Y13" i="1"/>
  <c r="C26" i="5" l="1"/>
  <c r="AA43" i="5"/>
  <c r="AA58" i="5"/>
  <c r="C24" i="3"/>
  <c r="Z62" i="5"/>
  <c r="C28" i="5"/>
  <c r="C41" i="6"/>
  <c r="Z62" i="3"/>
  <c r="AA43" i="3"/>
  <c r="O13" i="3"/>
  <c r="AA58" i="3"/>
  <c r="Z6" i="5"/>
  <c r="O16" i="5"/>
  <c r="P52" i="1"/>
  <c r="BB50" i="1"/>
  <c r="Z8" i="1"/>
  <c r="AP18" i="1" s="1"/>
  <c r="AB33" i="1"/>
  <c r="BD52" i="1"/>
  <c r="Y17" i="1"/>
  <c r="AJ27" i="1" s="1"/>
  <c r="P54" i="1" l="1"/>
  <c r="AJ9" i="1" s="1"/>
  <c r="P53" i="1"/>
  <c r="AJ6" i="1" s="1"/>
  <c r="O13" i="6"/>
  <c r="O16" i="6" s="1"/>
  <c r="Z62" i="6"/>
  <c r="AA58" i="6"/>
  <c r="AA43" i="6"/>
  <c r="C42" i="6"/>
  <c r="O16" i="3"/>
  <c r="Z6" i="3"/>
  <c r="AG40" i="5"/>
  <c r="M20" i="5"/>
  <c r="AP17" i="5"/>
  <c r="Y10" i="5"/>
  <c r="T34" i="1"/>
  <c r="Z6" i="6" l="1"/>
  <c r="Y10" i="6" s="1"/>
  <c r="C24" i="1"/>
  <c r="C25" i="1"/>
  <c r="C26" i="1" s="1"/>
  <c r="AG40" i="3"/>
  <c r="M19" i="3"/>
  <c r="AP17" i="3"/>
  <c r="Y10" i="3"/>
  <c r="AG40" i="6"/>
  <c r="N19" i="6"/>
  <c r="AP20" i="5"/>
  <c r="X20" i="5"/>
  <c r="AI13" i="5" s="1"/>
  <c r="AT48" i="5"/>
  <c r="AP17" i="6" l="1"/>
  <c r="O13" i="1"/>
  <c r="X19" i="3"/>
  <c r="AI13" i="3" s="1"/>
  <c r="AP20" i="3"/>
  <c r="AT48" i="3"/>
  <c r="AJ48" i="6"/>
  <c r="AP20" i="6"/>
  <c r="X19" i="6"/>
  <c r="AI13" i="6" s="1"/>
  <c r="AP19" i="5"/>
  <c r="AI16" i="5"/>
  <c r="AI18" i="5" s="1"/>
  <c r="AJ20" i="5" s="1"/>
  <c r="AA58" i="1"/>
  <c r="AA43" i="1"/>
  <c r="Z62" i="1"/>
  <c r="O16" i="1" l="1"/>
  <c r="AG40" i="1" s="1"/>
  <c r="Z6" i="1"/>
  <c r="Y10" i="1" s="1"/>
  <c r="AI16" i="3"/>
  <c r="AI18" i="3" s="1"/>
  <c r="AJ20" i="3" s="1"/>
  <c r="AP19" i="3"/>
  <c r="AI16" i="6"/>
  <c r="AI18" i="6" s="1"/>
  <c r="AJ20" i="6" s="1"/>
  <c r="AP19" i="6"/>
  <c r="M20" i="1" l="1"/>
  <c r="X20" i="1" s="1"/>
  <c r="AI13" i="1" s="1"/>
  <c r="AP19" i="1" s="1"/>
  <c r="AP17" i="1"/>
  <c r="AP20" i="1" l="1"/>
  <c r="AT48" i="1"/>
  <c r="AI16" i="1"/>
  <c r="AI18" i="1" s="1"/>
  <c r="AJ20" i="1" s="1"/>
</calcChain>
</file>

<file path=xl/sharedStrings.xml><?xml version="1.0" encoding="utf-8"?>
<sst xmlns="http://schemas.openxmlformats.org/spreadsheetml/2006/main" count="2430" uniqueCount="1182">
  <si>
    <r>
      <t>StormKeeper</t>
    </r>
    <r>
      <rPr>
        <b/>
        <sz val="14"/>
        <rFont val="Calibri"/>
        <family val="2"/>
      </rPr>
      <t>™</t>
    </r>
    <r>
      <rPr>
        <b/>
        <sz val="14"/>
        <rFont val="Aharoni"/>
        <charset val="177"/>
      </rPr>
      <t xml:space="preserve"> Stormwater Chamber</t>
    </r>
  </si>
  <si>
    <t>Polypropylene Corrugated Wall Stormwater Collection Chambers per ASTM F2418</t>
  </si>
  <si>
    <t>Chamber System Layout &amp; System Data</t>
  </si>
  <si>
    <r>
      <t xml:space="preserve">Storage Excavation Length, </t>
    </r>
    <r>
      <rPr>
        <b/>
        <sz val="10"/>
        <rFont val="Script MT Bold"/>
        <family val="4"/>
      </rPr>
      <t>l</t>
    </r>
  </si>
  <si>
    <t>Project:</t>
  </si>
  <si>
    <t>No. of Rows</t>
  </si>
  <si>
    <t>Chambers per Row</t>
  </si>
  <si>
    <t>Row Spacing (in)</t>
  </si>
  <si>
    <t>in</t>
  </si>
  <si>
    <t>Chamber Length</t>
  </si>
  <si>
    <t>Location:</t>
  </si>
  <si>
    <t>SK75</t>
  </si>
  <si>
    <r>
      <t xml:space="preserve">Storage Width, </t>
    </r>
    <r>
      <rPr>
        <sz val="10"/>
        <rFont val="Script MT Bold"/>
        <family val="4"/>
      </rPr>
      <t>w</t>
    </r>
  </si>
  <si>
    <t>ft</t>
  </si>
  <si>
    <t>End Cap Length</t>
  </si>
  <si>
    <t>A =</t>
  </si>
  <si>
    <r>
      <t>ft</t>
    </r>
    <r>
      <rPr>
        <b/>
        <sz val="10"/>
        <rFont val="Calibri"/>
        <family val="2"/>
      </rPr>
      <t>²</t>
    </r>
  </si>
  <si>
    <t>Row Length</t>
  </si>
  <si>
    <t>Engineer:</t>
  </si>
  <si>
    <t>effective or average area</t>
  </si>
  <si>
    <r>
      <t xml:space="preserve">Storage Excavation Depth, </t>
    </r>
    <r>
      <rPr>
        <b/>
        <sz val="10"/>
        <rFont val="Script MT Bold"/>
        <family val="4"/>
      </rPr>
      <t>d</t>
    </r>
  </si>
  <si>
    <t>End Cap to Trench Wall</t>
  </si>
  <si>
    <t>Chamber Type</t>
  </si>
  <si>
    <r>
      <t xml:space="preserve">Storage Depth, </t>
    </r>
    <r>
      <rPr>
        <sz val="10"/>
        <rFont val="Script MT Bold"/>
        <family val="4"/>
      </rPr>
      <t>d</t>
    </r>
  </si>
  <si>
    <r>
      <t xml:space="preserve">Storage Length, </t>
    </r>
    <r>
      <rPr>
        <sz val="10"/>
        <rFont val="Script MT Bold"/>
        <family val="4"/>
      </rPr>
      <t>l</t>
    </r>
  </si>
  <si>
    <t>System Designation:</t>
  </si>
  <si>
    <r>
      <t xml:space="preserve">Volume Provided in Chambers,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c</t>
    </r>
  </si>
  <si>
    <r>
      <t xml:space="preserve">Total System Storage,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T</t>
    </r>
  </si>
  <si>
    <r>
      <t xml:space="preserve">Volume Required, </t>
    </r>
    <r>
      <rPr>
        <b/>
        <sz val="11"/>
        <rFont val="Abyssinica SIL"/>
      </rPr>
      <t>V</t>
    </r>
    <r>
      <rPr>
        <b/>
        <vertAlign val="subscript"/>
        <sz val="11"/>
        <rFont val="Calibri"/>
        <family val="2"/>
        <scheme val="minor"/>
      </rPr>
      <t>R</t>
    </r>
    <r>
      <rPr>
        <b/>
        <sz val="11"/>
        <rFont val="Calibri"/>
        <family val="2"/>
        <scheme val="minor"/>
      </rPr>
      <t xml:space="preserve"> (ft</t>
    </r>
    <r>
      <rPr>
        <b/>
        <sz val="11"/>
        <rFont val="Calibri"/>
        <family val="2"/>
      </rPr>
      <t>³</t>
    </r>
    <r>
      <rPr>
        <b/>
        <sz val="11"/>
        <rFont val="Calibri"/>
        <family val="2"/>
        <scheme val="minor"/>
      </rPr>
      <t>) =</t>
    </r>
  </si>
  <si>
    <t>No. of Chambers</t>
  </si>
  <si>
    <r>
      <t>ft</t>
    </r>
    <r>
      <rPr>
        <sz val="10"/>
        <rFont val="Calibri"/>
        <family val="2"/>
      </rPr>
      <t>³</t>
    </r>
  </si>
  <si>
    <r>
      <t>ft</t>
    </r>
    <r>
      <rPr>
        <b/>
        <sz val="10"/>
        <rFont val="Calibri"/>
        <family val="2"/>
      </rPr>
      <t>³</t>
    </r>
  </si>
  <si>
    <t>Storage per Chamber</t>
  </si>
  <si>
    <t>No. of End Caps</t>
  </si>
  <si>
    <t xml:space="preserve">Stone Backfill Porosity </t>
  </si>
  <si>
    <r>
      <t xml:space="preserve">Safety Factor,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T</t>
    </r>
    <r>
      <rPr>
        <b/>
        <sz val="10"/>
        <rFont val="Calibri"/>
        <family val="2"/>
        <scheme val="minor"/>
      </rPr>
      <t>/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R</t>
    </r>
    <r>
      <rPr>
        <b/>
        <sz val="10"/>
        <rFont val="Calibri"/>
        <family val="2"/>
        <scheme val="minor"/>
      </rPr>
      <t xml:space="preserve"> =</t>
    </r>
  </si>
  <si>
    <t>Storage per End Cap</t>
  </si>
  <si>
    <t>Chambers</t>
  </si>
  <si>
    <t>Chamber End Caps</t>
  </si>
  <si>
    <t>Cubic Yards of Stone</t>
  </si>
  <si>
    <t>The schematic illustrated below maintains minimum stone embedment dimensions (chamber bedding, cover, and spacings).</t>
  </si>
  <si>
    <t>Square Yards of Fabric</t>
  </si>
  <si>
    <t>Notes</t>
  </si>
  <si>
    <t>Storage Depth (ft)</t>
  </si>
  <si>
    <t>All dimensions in inches unless noted otherwise.</t>
  </si>
  <si>
    <t>Chambers per row</t>
  </si>
  <si>
    <t>(TYP)</t>
  </si>
  <si>
    <r>
      <t>ft</t>
    </r>
    <r>
      <rPr>
        <b/>
        <sz val="12"/>
        <rFont val="Calibri"/>
        <family val="2"/>
      </rPr>
      <t>²</t>
    </r>
  </si>
  <si>
    <t>Total rows of chambers</t>
  </si>
  <si>
    <t>Storage</t>
  </si>
  <si>
    <t>Installed</t>
  </si>
  <si>
    <t>End Cap</t>
  </si>
  <si>
    <t>Width</t>
  </si>
  <si>
    <t>Height</t>
  </si>
  <si>
    <t>Chamber</t>
  </si>
  <si>
    <t>Trench</t>
  </si>
  <si>
    <t>Bedding</t>
  </si>
  <si>
    <t>Cover</t>
  </si>
  <si>
    <t>(cf)</t>
  </si>
  <si>
    <t>Length (in)</t>
  </si>
  <si>
    <t>(in)</t>
  </si>
  <si>
    <t>Spacing (in)</t>
  </si>
  <si>
    <t>Clearance (in)</t>
  </si>
  <si>
    <t>Storage (cf)</t>
  </si>
  <si>
    <t xml:space="preserve"> Clearance (in)</t>
  </si>
  <si>
    <t>SK180</t>
  </si>
  <si>
    <t>C</t>
  </si>
  <si>
    <t>B</t>
  </si>
  <si>
    <t>SK75 Manifolds</t>
  </si>
  <si>
    <t>SK180 Manifolds</t>
  </si>
  <si>
    <r>
      <t xml:space="preserve">Volume Provided in Manifold,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m</t>
    </r>
  </si>
  <si>
    <t>OD</t>
  </si>
  <si>
    <t>Mainline</t>
  </si>
  <si>
    <t>Stub</t>
  </si>
  <si>
    <t>ID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</si>
  <si>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>m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</si>
  <si>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s</t>
    </r>
  </si>
  <si>
    <r>
      <t>(ft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alibri"/>
        <family val="2"/>
        <scheme val="minor"/>
      </rPr>
      <t>)</t>
    </r>
  </si>
  <si>
    <t>8" x 4"</t>
  </si>
  <si>
    <t>8" x 6"</t>
  </si>
  <si>
    <t>8" x 8"</t>
  </si>
  <si>
    <t>10" x 4"</t>
  </si>
  <si>
    <t>10" x 6"</t>
  </si>
  <si>
    <t>10" x 8"</t>
  </si>
  <si>
    <t>10" x 10"</t>
  </si>
  <si>
    <t>12" x 4"</t>
  </si>
  <si>
    <t>12" x 6"</t>
  </si>
  <si>
    <t>12" x 8"</t>
  </si>
  <si>
    <t>12" x 10"</t>
  </si>
  <si>
    <t>12" x 12"</t>
  </si>
  <si>
    <t>15" x 4"</t>
  </si>
  <si>
    <t>15" x 6"</t>
  </si>
  <si>
    <t>15" x 8"</t>
  </si>
  <si>
    <t>15" x 10"</t>
  </si>
  <si>
    <t>15" x 12"</t>
  </si>
  <si>
    <t>15" x 15"</t>
  </si>
  <si>
    <t>18" x 4"</t>
  </si>
  <si>
    <t>18" x 6"</t>
  </si>
  <si>
    <t>18" x 8"</t>
  </si>
  <si>
    <t>18" x 10"</t>
  </si>
  <si>
    <t>18" x 12"</t>
  </si>
  <si>
    <t>18" x 15"</t>
  </si>
  <si>
    <t>18" x 18"</t>
  </si>
  <si>
    <t>24" x 4"</t>
  </si>
  <si>
    <t>24" x 6"</t>
  </si>
  <si>
    <t>24" x 8"</t>
  </si>
  <si>
    <t>24" x 10"</t>
  </si>
  <si>
    <t>24" x 12"</t>
  </si>
  <si>
    <t>24" x 15"</t>
  </si>
  <si>
    <t>24" x 18"</t>
  </si>
  <si>
    <t>30" x 4"</t>
  </si>
  <si>
    <t>30" x 6"</t>
  </si>
  <si>
    <t>30" x 8"</t>
  </si>
  <si>
    <t>30" x 10"</t>
  </si>
  <si>
    <t>30" x 12"</t>
  </si>
  <si>
    <t>30" x 15"</t>
  </si>
  <si>
    <t>30" x 18"</t>
  </si>
  <si>
    <t>36" x 4"</t>
  </si>
  <si>
    <t>36" x 6"</t>
  </si>
  <si>
    <t>36" x 8"</t>
  </si>
  <si>
    <t>36" x 10"</t>
  </si>
  <si>
    <t>36" x 12"</t>
  </si>
  <si>
    <t>36" x 15"</t>
  </si>
  <si>
    <t>36" x 18"</t>
  </si>
  <si>
    <t>42" x 4"</t>
  </si>
  <si>
    <t>42" x 6"</t>
  </si>
  <si>
    <t>42" x 8"</t>
  </si>
  <si>
    <t>42" x 10"</t>
  </si>
  <si>
    <t>42" x 12"</t>
  </si>
  <si>
    <t>42" x 15"</t>
  </si>
  <si>
    <t>42" x 18"</t>
  </si>
  <si>
    <t>48" x 4"</t>
  </si>
  <si>
    <t>48" x 6"</t>
  </si>
  <si>
    <t>48" x 8"</t>
  </si>
  <si>
    <t>48" x 10"</t>
  </si>
  <si>
    <t>48" x 12"</t>
  </si>
  <si>
    <t>48" x 15"</t>
  </si>
  <si>
    <t>48" x 18"</t>
  </si>
  <si>
    <t>24" x 24"</t>
  </si>
  <si>
    <t>30" x 24"</t>
  </si>
  <si>
    <t>30" x 30"</t>
  </si>
  <si>
    <t>36" x 24"</t>
  </si>
  <si>
    <t>36" x 30"</t>
  </si>
  <si>
    <t>42" x 24"</t>
  </si>
  <si>
    <t>42" x 30"</t>
  </si>
  <si>
    <t>48" x 24"</t>
  </si>
  <si>
    <t>48" x 30"</t>
  </si>
  <si>
    <t xml:space="preserve">Side </t>
  </si>
  <si>
    <t>(ft)</t>
  </si>
  <si>
    <r>
      <t>T</t>
    </r>
    <r>
      <rPr>
        <vertAlign val="subscript"/>
        <sz val="11"/>
        <color theme="1"/>
        <rFont val="Calibri"/>
        <family val="2"/>
        <scheme val="minor"/>
      </rPr>
      <t>min</t>
    </r>
  </si>
  <si>
    <t>Side Width</t>
  </si>
  <si>
    <t>Length (ft)</t>
  </si>
  <si>
    <t>ID (in)</t>
  </si>
  <si>
    <t>OD (in)</t>
  </si>
  <si>
    <t>Manifold with</t>
  </si>
  <si>
    <t>Stubs</t>
  </si>
  <si>
    <t>Storage Excavation Footprint</t>
  </si>
  <si>
    <t>ID Storage (cf)</t>
  </si>
  <si>
    <t>OD Volume (cf)</t>
  </si>
  <si>
    <r>
      <t>Manifold Storage, V</t>
    </r>
    <r>
      <rPr>
        <vertAlign val="subscript"/>
        <sz val="10"/>
        <color theme="1"/>
        <rFont val="Calibri"/>
        <family val="2"/>
        <scheme val="minor"/>
      </rPr>
      <t>m</t>
    </r>
  </si>
  <si>
    <t>(based on mainline and stub ID's)</t>
  </si>
  <si>
    <t>Stub Placement</t>
  </si>
  <si>
    <t>every row</t>
  </si>
  <si>
    <t>alternating rows</t>
  </si>
  <si>
    <t>(based on mainline and stub OD's)</t>
  </si>
  <si>
    <t>a</t>
  </si>
  <si>
    <t>b</t>
  </si>
  <si>
    <t>a (sidefill width)</t>
  </si>
  <si>
    <t>b (manifold width)</t>
  </si>
  <si>
    <t>Manifold Sidefill Width, a</t>
  </si>
  <si>
    <t>Manifold Width, b</t>
  </si>
  <si>
    <t>Consult a Lane sales representative for manifold fitting quantities</t>
  </si>
  <si>
    <r>
      <t>Manifold Blockout, V</t>
    </r>
    <r>
      <rPr>
        <vertAlign val="subscript"/>
        <sz val="10"/>
        <color theme="1"/>
        <rFont val="Calibri"/>
        <family val="2"/>
        <scheme val="minor"/>
      </rPr>
      <t>mb</t>
    </r>
  </si>
  <si>
    <r>
      <t xml:space="preserve">Volume Taken by Manifold,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mb</t>
    </r>
  </si>
  <si>
    <r>
      <t xml:space="preserve">Total Excavation Volume,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exc</t>
    </r>
  </si>
  <si>
    <r>
      <t>V</t>
    </r>
    <r>
      <rPr>
        <vertAlign val="subscript"/>
        <sz val="10"/>
        <rFont val="Calibri"/>
        <family val="2"/>
        <scheme val="minor"/>
      </rPr>
      <t>exc</t>
    </r>
    <r>
      <rPr>
        <sz val="10"/>
        <rFont val="Calibri"/>
        <family val="2"/>
        <scheme val="minor"/>
      </rPr>
      <t xml:space="preserve"> = </t>
    </r>
    <r>
      <rPr>
        <sz val="10"/>
        <rFont val="Script MT Bold"/>
        <family val="4"/>
      </rPr>
      <t xml:space="preserve">w </t>
    </r>
    <r>
      <rPr>
        <sz val="9"/>
        <rFont val="Calibri"/>
        <family val="2"/>
        <scheme val="minor"/>
      </rPr>
      <t xml:space="preserve">x </t>
    </r>
    <r>
      <rPr>
        <sz val="10"/>
        <rFont val="Script MT Bold"/>
        <family val="4"/>
      </rPr>
      <t xml:space="preserve">l </t>
    </r>
    <r>
      <rPr>
        <sz val="9"/>
        <rFont val="Calibri"/>
        <family val="2"/>
        <scheme val="minor"/>
      </rPr>
      <t xml:space="preserve">x </t>
    </r>
    <r>
      <rPr>
        <sz val="10"/>
        <rFont val="Script MT Bold"/>
        <family val="4"/>
      </rPr>
      <t>d</t>
    </r>
  </si>
  <si>
    <r>
      <t>Total Stone Required, V</t>
    </r>
    <r>
      <rPr>
        <b/>
        <vertAlign val="subscript"/>
        <sz val="10"/>
        <rFont val="Calibri"/>
        <family val="2"/>
        <scheme val="minor"/>
      </rPr>
      <t>s</t>
    </r>
  </si>
  <si>
    <r>
      <t>V</t>
    </r>
    <r>
      <rPr>
        <vertAlign val="subscript"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 = V</t>
    </r>
    <r>
      <rPr>
        <vertAlign val="subscript"/>
        <sz val="10"/>
        <rFont val="Calibri"/>
        <family val="2"/>
        <scheme val="minor"/>
      </rPr>
      <t>exc</t>
    </r>
    <r>
      <rPr>
        <sz val="10"/>
        <rFont val="Calibri"/>
        <family val="2"/>
        <scheme val="minor"/>
      </rPr>
      <t xml:space="preserve"> - (V</t>
    </r>
    <r>
      <rPr>
        <vertAlign val="subscript"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 xml:space="preserve"> + V</t>
    </r>
    <r>
      <rPr>
        <vertAlign val="subscript"/>
        <sz val="10"/>
        <rFont val="Calibri"/>
        <family val="2"/>
        <scheme val="minor"/>
      </rPr>
      <t>mb</t>
    </r>
    <r>
      <rPr>
        <sz val="10"/>
        <rFont val="Calibri"/>
        <family val="2"/>
        <scheme val="minor"/>
      </rPr>
      <t>)</t>
    </r>
  </si>
  <si>
    <r>
      <t>Total Storage in Stone Voids, V</t>
    </r>
    <r>
      <rPr>
        <b/>
        <vertAlign val="subscript"/>
        <sz val="10"/>
        <rFont val="Calibri"/>
        <family val="2"/>
        <scheme val="minor"/>
      </rPr>
      <t>v</t>
    </r>
  </si>
  <si>
    <r>
      <rPr>
        <sz val="9"/>
        <rFont val="Abyssinica SIL"/>
      </rPr>
      <t>V</t>
    </r>
    <r>
      <rPr>
        <vertAlign val="subscript"/>
        <sz val="10"/>
        <rFont val="Calibri"/>
        <family val="2"/>
        <scheme val="minor"/>
      </rPr>
      <t>v</t>
    </r>
    <r>
      <rPr>
        <sz val="10"/>
        <rFont val="Calibri"/>
        <family val="2"/>
        <scheme val="minor"/>
      </rPr>
      <t xml:space="preserve"> = 40% V</t>
    </r>
    <r>
      <rPr>
        <vertAlign val="subscript"/>
        <sz val="10"/>
        <rFont val="Calibri"/>
        <family val="2"/>
        <scheme val="minor"/>
      </rPr>
      <t>s</t>
    </r>
  </si>
  <si>
    <r>
      <t xml:space="preserve">Chamber Storage, </t>
    </r>
    <r>
      <rPr>
        <sz val="9"/>
        <rFont val="Abyssinica SIL"/>
      </rPr>
      <t>V</t>
    </r>
    <r>
      <rPr>
        <vertAlign val="subscript"/>
        <sz val="10"/>
        <rFont val="Calibri"/>
        <family val="2"/>
        <scheme val="minor"/>
      </rPr>
      <t>c</t>
    </r>
  </si>
  <si>
    <r>
      <t xml:space="preserve">Volume Req'd,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R</t>
    </r>
    <r>
      <rPr>
        <b/>
        <sz val="9"/>
        <rFont val="Abyssinica SIL"/>
      </rPr>
      <t/>
    </r>
  </si>
  <si>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T</t>
    </r>
    <r>
      <rPr>
        <b/>
        <sz val="10"/>
        <rFont val="Calibri"/>
        <family val="2"/>
        <scheme val="minor"/>
      </rPr>
      <t xml:space="preserve"> =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c</t>
    </r>
    <r>
      <rPr>
        <b/>
        <sz val="10"/>
        <rFont val="Calibri"/>
        <family val="2"/>
        <scheme val="minor"/>
      </rPr>
      <t xml:space="preserve"> + V</t>
    </r>
    <r>
      <rPr>
        <b/>
        <vertAlign val="subscript"/>
        <sz val="10"/>
        <rFont val="Calibri"/>
        <family val="2"/>
        <scheme val="minor"/>
      </rPr>
      <t xml:space="preserve">m </t>
    </r>
    <r>
      <rPr>
        <b/>
        <sz val="10"/>
        <rFont val="Calibri"/>
        <family val="2"/>
        <scheme val="minor"/>
      </rPr>
      <t xml:space="preserve">+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v</t>
    </r>
  </si>
  <si>
    <r>
      <t xml:space="preserve">Volume Required, </t>
    </r>
    <r>
      <rPr>
        <b/>
        <sz val="11"/>
        <rFont val="Abyssinica SIL"/>
      </rPr>
      <t>V</t>
    </r>
    <r>
      <rPr>
        <b/>
        <vertAlign val="subscript"/>
        <sz val="11"/>
        <rFont val="Calibri"/>
        <family val="2"/>
        <scheme val="minor"/>
      </rPr>
      <t>R</t>
    </r>
    <r>
      <rPr>
        <b/>
        <sz val="11"/>
        <rFont val="Calibri"/>
        <family val="2"/>
        <scheme val="minor"/>
      </rPr>
      <t xml:space="preserve"> (ft</t>
    </r>
    <r>
      <rPr>
        <b/>
        <sz val="11"/>
        <rFont val="Calibri"/>
        <family val="2"/>
      </rPr>
      <t>³</t>
    </r>
    <r>
      <rPr>
        <b/>
        <sz val="11"/>
        <rFont val="Calibri"/>
        <family val="2"/>
        <scheme val="minor"/>
      </rPr>
      <t>)</t>
    </r>
  </si>
  <si>
    <t>Chambers per row . . .</t>
  </si>
  <si>
    <t>Round up to . . .</t>
  </si>
  <si>
    <r>
      <t>Total Volume (ft</t>
    </r>
    <r>
      <rPr>
        <b/>
        <sz val="10"/>
        <rFont val="Calibri"/>
        <family val="2"/>
      </rPr>
      <t>³</t>
    </r>
    <r>
      <rPr>
        <b/>
        <sz val="10"/>
        <rFont val="Calibri"/>
        <family val="2"/>
        <scheme val="minor"/>
      </rPr>
      <t>) . . .</t>
    </r>
  </si>
  <si>
    <t>6. Results from the above selections:</t>
  </si>
  <si>
    <t>Quantities</t>
  </si>
  <si>
    <t>4. Select a manifold configuration:</t>
  </si>
  <si>
    <t>2. Select the chamber model:</t>
  </si>
  <si>
    <t>1. Enter the volume requirement:</t>
  </si>
  <si>
    <t>3. Select the number of chamber rows:</t>
  </si>
  <si>
    <t>7. Type in project information and notes at right.</t>
  </si>
  <si>
    <t>8. Select print for project submittals/records.</t>
  </si>
  <si>
    <t>Stubs (each side)</t>
  </si>
  <si>
    <r>
      <t>V</t>
    </r>
    <r>
      <rPr>
        <vertAlign val="subscript"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 = V</t>
    </r>
    <r>
      <rPr>
        <vertAlign val="subscript"/>
        <sz val="10"/>
        <rFont val="Calibri"/>
        <family val="2"/>
        <scheme val="minor"/>
      </rPr>
      <t>exc</t>
    </r>
    <r>
      <rPr>
        <sz val="10"/>
        <rFont val="Calibri"/>
        <family val="2"/>
        <scheme val="minor"/>
      </rPr>
      <t xml:space="preserve"> - (V</t>
    </r>
    <r>
      <rPr>
        <vertAlign val="subscript"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+2V</t>
    </r>
    <r>
      <rPr>
        <vertAlign val="subscript"/>
        <sz val="10"/>
        <rFont val="Calibri"/>
        <family val="2"/>
        <scheme val="minor"/>
      </rPr>
      <t>mb</t>
    </r>
    <r>
      <rPr>
        <sz val="10"/>
        <rFont val="Calibri"/>
        <family val="2"/>
        <scheme val="minor"/>
      </rPr>
      <t>)</t>
    </r>
  </si>
  <si>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T</t>
    </r>
    <r>
      <rPr>
        <b/>
        <sz val="10"/>
        <rFont val="Calibri"/>
        <family val="2"/>
        <scheme val="minor"/>
      </rPr>
      <t xml:space="preserve"> =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c</t>
    </r>
    <r>
      <rPr>
        <b/>
        <sz val="10"/>
        <rFont val="Calibri"/>
        <family val="2"/>
        <scheme val="minor"/>
      </rPr>
      <t xml:space="preserve"> + 2V</t>
    </r>
    <r>
      <rPr>
        <b/>
        <vertAlign val="subscript"/>
        <sz val="10"/>
        <rFont val="Calibri"/>
        <family val="2"/>
        <scheme val="minor"/>
      </rPr>
      <t xml:space="preserve">m </t>
    </r>
    <r>
      <rPr>
        <b/>
        <sz val="10"/>
        <rFont val="Calibri"/>
        <family val="2"/>
        <scheme val="minor"/>
      </rPr>
      <t xml:space="preserve">+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v</t>
    </r>
  </si>
  <si>
    <r>
      <t>Storage Excavation Width</t>
    </r>
    <r>
      <rPr>
        <b/>
        <sz val="10"/>
        <rFont val="Calibri"/>
        <family val="2"/>
      </rPr>
      <t>¹</t>
    </r>
    <r>
      <rPr>
        <b/>
        <sz val="10"/>
        <rFont val="Calibri"/>
        <family val="2"/>
        <scheme val="minor"/>
      </rPr>
      <t xml:space="preserve">, </t>
    </r>
    <r>
      <rPr>
        <b/>
        <sz val="10"/>
        <rFont val="Script MT Bold"/>
        <family val="4"/>
      </rPr>
      <t>w</t>
    </r>
  </si>
  <si>
    <r>
      <t>Storage Width</t>
    </r>
    <r>
      <rPr>
        <sz val="10"/>
        <rFont val="Calibri"/>
        <family val="2"/>
      </rPr>
      <t>¹</t>
    </r>
    <r>
      <rPr>
        <sz val="10"/>
        <rFont val="Calibri"/>
        <family val="2"/>
        <scheme val="minor"/>
      </rPr>
      <t xml:space="preserve"> (ft) </t>
    </r>
  </si>
  <si>
    <r>
      <rPr>
        <sz val="10"/>
        <color theme="1"/>
        <rFont val="Calibri"/>
        <family val="2"/>
      </rPr>
      <t>¹</t>
    </r>
    <r>
      <rPr>
        <sz val="10"/>
        <color theme="1"/>
        <rFont val="Calibri"/>
        <family val="2"/>
        <scheme val="minor"/>
      </rPr>
      <t>The system width will vary slightly depending on the manifold configuration used. Resulting changes to the storage volume will be negligible.</t>
    </r>
  </si>
  <si>
    <r>
      <t xml:space="preserve">Volume Provided in Stone Voids,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v</t>
    </r>
  </si>
  <si>
    <r>
      <t>Excavation (</t>
    </r>
    <r>
      <rPr>
        <sz val="10"/>
        <rFont val="Script MT Bold"/>
        <family val="4"/>
      </rPr>
      <t xml:space="preserve">w </t>
    </r>
    <r>
      <rPr>
        <sz val="9"/>
        <rFont val="Calibri"/>
        <family val="2"/>
        <scheme val="minor"/>
      </rPr>
      <t xml:space="preserve">x </t>
    </r>
    <r>
      <rPr>
        <sz val="10"/>
        <rFont val="Script MT Bold"/>
        <family val="4"/>
      </rPr>
      <t xml:space="preserve">l </t>
    </r>
    <r>
      <rPr>
        <sz val="9"/>
        <rFont val="Calibri"/>
        <family val="2"/>
        <scheme val="minor"/>
      </rPr>
      <t xml:space="preserve">x </t>
    </r>
    <r>
      <rPr>
        <sz val="10"/>
        <rFont val="Script MT Bold"/>
        <family val="4"/>
      </rPr>
      <t>d</t>
    </r>
    <r>
      <rPr>
        <sz val="10"/>
        <rFont val="Calibri"/>
        <family val="2"/>
        <scheme val="minor"/>
      </rPr>
      <t>)</t>
    </r>
  </si>
  <si>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T</t>
    </r>
    <r>
      <rPr>
        <b/>
        <sz val="10"/>
        <rFont val="Calibri"/>
        <family val="2"/>
        <scheme val="minor"/>
      </rPr>
      <t xml:space="preserve"> =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c</t>
    </r>
    <r>
      <rPr>
        <b/>
        <sz val="10"/>
        <rFont val="Calibri"/>
        <family val="2"/>
        <scheme val="minor"/>
      </rPr>
      <t xml:space="preserve"> +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v</t>
    </r>
    <r>
      <rPr>
        <b/>
        <sz val="10"/>
        <rFont val="Calibri"/>
        <family val="2"/>
        <scheme val="minor"/>
      </rPr>
      <t xml:space="preserve"> =</t>
    </r>
  </si>
  <si>
    <r>
      <t xml:space="preserve">Stone Required, </t>
    </r>
    <r>
      <rPr>
        <sz val="9"/>
        <rFont val="Abyssinica SIL"/>
      </rPr>
      <t>V</t>
    </r>
    <r>
      <rPr>
        <vertAlign val="subscript"/>
        <sz val="10"/>
        <rFont val="Calibri"/>
        <family val="2"/>
        <scheme val="minor"/>
      </rPr>
      <t>s</t>
    </r>
  </si>
  <si>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R</t>
    </r>
    <r>
      <rPr>
        <b/>
        <sz val="10"/>
        <rFont val="Calibri"/>
        <family val="2"/>
        <scheme val="minor"/>
      </rPr>
      <t xml:space="preserve"> = </t>
    </r>
    <r>
      <rPr>
        <b/>
        <sz val="9"/>
        <rFont val="Abyssinica SIL"/>
      </rPr>
      <t/>
    </r>
  </si>
  <si>
    <r>
      <t xml:space="preserve">Stone Voids Storage, </t>
    </r>
    <r>
      <rPr>
        <sz val="9"/>
        <rFont val="Abyssinica SIL"/>
      </rPr>
      <t>V</t>
    </r>
    <r>
      <rPr>
        <vertAlign val="subscript"/>
        <sz val="10"/>
        <rFont val="Calibri"/>
        <family val="2"/>
        <scheme val="minor"/>
      </rPr>
      <t>v</t>
    </r>
  </si>
  <si>
    <r>
      <t xml:space="preserve">Total Chamber Storage, </t>
    </r>
    <r>
      <rPr>
        <sz val="9"/>
        <rFont val="Abyssinica SIL"/>
      </rPr>
      <t>V</t>
    </r>
    <r>
      <rPr>
        <vertAlign val="subscript"/>
        <sz val="10"/>
        <rFont val="Calibri"/>
        <family val="2"/>
        <scheme val="minor"/>
      </rPr>
      <t>c</t>
    </r>
  </si>
  <si>
    <t>Storage Excavation Footprint =</t>
  </si>
  <si>
    <r>
      <t xml:space="preserve">Volume Required, </t>
    </r>
    <r>
      <rPr>
        <b/>
        <sz val="10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R</t>
    </r>
    <r>
      <rPr>
        <b/>
        <sz val="10"/>
        <rFont val="Calibri"/>
        <family val="2"/>
        <scheme val="minor"/>
      </rPr>
      <t xml:space="preserve"> (ft</t>
    </r>
    <r>
      <rPr>
        <b/>
        <sz val="10"/>
        <rFont val="Calibri"/>
        <family val="2"/>
      </rPr>
      <t>³</t>
    </r>
    <r>
      <rPr>
        <b/>
        <sz val="10"/>
        <rFont val="Calibri"/>
        <family val="2"/>
        <scheme val="minor"/>
      </rPr>
      <t>)</t>
    </r>
  </si>
  <si>
    <t>1. Enter the volume required in cubic feet:</t>
  </si>
  <si>
    <r>
      <t>Note:</t>
    </r>
    <r>
      <rPr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Steps 2 and 3 fix the width of the system.</t>
    </r>
  </si>
  <si>
    <t>Manifold stub placement:</t>
  </si>
  <si>
    <t>5. Results from the above selections:</t>
  </si>
  <si>
    <t>of Chambers</t>
  </si>
  <si>
    <t>Total rows</t>
  </si>
  <si>
    <t>Footprint =</t>
  </si>
  <si>
    <t>Storage Excavation</t>
  </si>
  <si>
    <r>
      <t>a</t>
    </r>
    <r>
      <rPr>
        <b/>
        <vertAlign val="subscript"/>
        <sz val="10"/>
        <rFont val="Calibri"/>
        <family val="2"/>
        <scheme val="minor"/>
      </rPr>
      <t>1</t>
    </r>
  </si>
  <si>
    <r>
      <t>b</t>
    </r>
    <r>
      <rPr>
        <b/>
        <vertAlign val="subscript"/>
        <sz val="10"/>
        <rFont val="Calibri"/>
        <family val="2"/>
        <scheme val="minor"/>
      </rPr>
      <t>1</t>
    </r>
  </si>
  <si>
    <r>
      <t>a</t>
    </r>
    <r>
      <rPr>
        <vertAlign val="sub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(sidefill width)</t>
    </r>
  </si>
  <si>
    <r>
      <t>b</t>
    </r>
    <r>
      <rPr>
        <vertAlign val="sub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(manifold width)</t>
    </r>
  </si>
  <si>
    <r>
      <t>a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(sidefill width)</t>
    </r>
  </si>
  <si>
    <r>
      <t>b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(manifold width)</t>
    </r>
  </si>
  <si>
    <r>
      <t>b</t>
    </r>
    <r>
      <rPr>
        <b/>
        <vertAlign val="subscript"/>
        <sz val="10"/>
        <rFont val="Calibri"/>
        <family val="2"/>
        <scheme val="minor"/>
      </rPr>
      <t>2</t>
    </r>
  </si>
  <si>
    <r>
      <t>a</t>
    </r>
    <r>
      <rPr>
        <b/>
        <vertAlign val="subscript"/>
        <sz val="10"/>
        <rFont val="Calibri"/>
        <family val="2"/>
        <scheme val="minor"/>
      </rPr>
      <t>2</t>
    </r>
  </si>
  <si>
    <r>
      <t>L</t>
    </r>
    <r>
      <rPr>
        <b/>
        <vertAlign val="subscript"/>
        <sz val="12"/>
        <rFont val="Calibri"/>
        <family val="2"/>
        <scheme val="minor"/>
      </rPr>
      <t>2</t>
    </r>
  </si>
  <si>
    <r>
      <t>L</t>
    </r>
    <r>
      <rPr>
        <b/>
        <vertAlign val="subscript"/>
        <sz val="12"/>
        <rFont val="Calibri"/>
        <family val="2"/>
        <scheme val="minor"/>
      </rPr>
      <t>1</t>
    </r>
  </si>
  <si>
    <r>
      <t>Length</t>
    </r>
    <r>
      <rPr>
        <b/>
        <sz val="10"/>
        <rFont val="Calibri"/>
        <family val="2"/>
        <scheme val="minor"/>
      </rPr>
      <t xml:space="preserve"> (ft)</t>
    </r>
  </si>
  <si>
    <t>No. of rows the manifold encompasses</t>
  </si>
  <si>
    <t>No. of rows manifold encompasses</t>
  </si>
  <si>
    <t>4. Select Manifold #1 configuration:</t>
  </si>
  <si>
    <t>5. Select Manifold #2 configuration:</t>
  </si>
  <si>
    <r>
      <t>V</t>
    </r>
    <r>
      <rPr>
        <vertAlign val="subscript"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 xml:space="preserve"> = V</t>
    </r>
    <r>
      <rPr>
        <vertAlign val="subscript"/>
        <sz val="10"/>
        <color theme="1"/>
        <rFont val="Calibri"/>
        <family val="2"/>
        <scheme val="minor"/>
      </rPr>
      <t>m1</t>
    </r>
    <r>
      <rPr>
        <sz val="10"/>
        <color theme="1"/>
        <rFont val="Calibri"/>
        <family val="2"/>
        <scheme val="minor"/>
      </rPr>
      <t xml:space="preserve"> + V</t>
    </r>
    <r>
      <rPr>
        <vertAlign val="subscript"/>
        <sz val="10"/>
        <color theme="1"/>
        <rFont val="Calibri"/>
        <family val="2"/>
        <scheme val="minor"/>
      </rPr>
      <t>m2</t>
    </r>
  </si>
  <si>
    <r>
      <t xml:space="preserve">Volume Provided in Manifolds,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m</t>
    </r>
  </si>
  <si>
    <r>
      <t xml:space="preserve">Manifold Blockouts, </t>
    </r>
    <r>
      <rPr>
        <b/>
        <sz val="9"/>
        <rFont val="Abyssinica SIL"/>
      </rPr>
      <t>V</t>
    </r>
    <r>
      <rPr>
        <b/>
        <vertAlign val="subscript"/>
        <sz val="10"/>
        <rFont val="Calibri"/>
        <family val="2"/>
        <scheme val="minor"/>
      </rPr>
      <t>mb</t>
    </r>
  </si>
  <si>
    <r>
      <t>V</t>
    </r>
    <r>
      <rPr>
        <vertAlign val="subscript"/>
        <sz val="10"/>
        <color theme="1"/>
        <rFont val="Calibri"/>
        <family val="2"/>
        <scheme val="minor"/>
      </rPr>
      <t>mb</t>
    </r>
    <r>
      <rPr>
        <sz val="10"/>
        <color theme="1"/>
        <rFont val="Calibri"/>
        <family val="2"/>
        <scheme val="minor"/>
      </rPr>
      <t xml:space="preserve"> = V</t>
    </r>
    <r>
      <rPr>
        <vertAlign val="subscript"/>
        <sz val="10"/>
        <color theme="1"/>
        <rFont val="Calibri"/>
        <family val="2"/>
        <scheme val="minor"/>
      </rPr>
      <t>mb1</t>
    </r>
    <r>
      <rPr>
        <sz val="10"/>
        <color theme="1"/>
        <rFont val="Calibri"/>
        <family val="2"/>
        <scheme val="minor"/>
      </rPr>
      <t xml:space="preserve"> + V</t>
    </r>
    <r>
      <rPr>
        <vertAlign val="subscript"/>
        <sz val="10"/>
        <color theme="1"/>
        <rFont val="Calibri"/>
        <family val="2"/>
        <scheme val="minor"/>
      </rPr>
      <t>mb2</t>
    </r>
  </si>
  <si>
    <r>
      <t>V</t>
    </r>
    <r>
      <rPr>
        <vertAlign val="subscript"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 = V</t>
    </r>
    <r>
      <rPr>
        <vertAlign val="subscript"/>
        <sz val="10"/>
        <rFont val="Calibri"/>
        <family val="2"/>
        <scheme val="minor"/>
      </rPr>
      <t>exc</t>
    </r>
    <r>
      <rPr>
        <sz val="10"/>
        <rFont val="Calibri"/>
        <family val="2"/>
        <scheme val="minor"/>
      </rPr>
      <t xml:space="preserve"> - (V</t>
    </r>
    <r>
      <rPr>
        <vertAlign val="subscript"/>
        <sz val="10"/>
        <rFont val="Calibri"/>
        <family val="2"/>
        <scheme val="minor"/>
      </rPr>
      <t xml:space="preserve">c </t>
    </r>
    <r>
      <rPr>
        <sz val="10"/>
        <rFont val="Calibri"/>
        <family val="2"/>
        <scheme val="minor"/>
      </rPr>
      <t>+ V</t>
    </r>
    <r>
      <rPr>
        <vertAlign val="subscript"/>
        <sz val="10"/>
        <rFont val="Calibri"/>
        <family val="2"/>
        <scheme val="minor"/>
      </rPr>
      <t>mb</t>
    </r>
    <r>
      <rPr>
        <sz val="10"/>
        <rFont val="Calibri"/>
        <family val="2"/>
        <scheme val="minor"/>
      </rPr>
      <t>)</t>
    </r>
  </si>
  <si>
    <t>6. Type in project information and notes at right.</t>
  </si>
  <si>
    <t>7. Select print for project submittals/records.</t>
  </si>
  <si>
    <t>Manifold #1</t>
  </si>
  <si>
    <t>Manifold #2</t>
  </si>
  <si>
    <t>4. Results from the above selections:</t>
  </si>
  <si>
    <t>5. Type in project information and notes at right.</t>
  </si>
  <si>
    <t>6. Select print for project submittals/records.</t>
  </si>
  <si>
    <t>0-Manifold</t>
  </si>
  <si>
    <t>1-Manifold (Full Length)</t>
  </si>
  <si>
    <t>2-Manifold (Full Length)</t>
  </si>
  <si>
    <t>1-Manifold (Variable Length)</t>
  </si>
  <si>
    <t>2-Manifold (Variable Length)</t>
  </si>
  <si>
    <t>Includes storage and additional excavation area associated with a manifold at each end of the chamber system.</t>
  </si>
  <si>
    <t>Allows for two variable length manifolds at each end of the chamber system.</t>
  </si>
  <si>
    <t>Does not include storage or additional excavation area associated with manifold(s).</t>
  </si>
  <si>
    <t>Allows for one full length manifold at one end of the chamber system.</t>
  </si>
  <si>
    <t>Includes storage and additional excavation area associated with one manifold at one end of the chamber system.</t>
  </si>
  <si>
    <t>Allows for two full length manifolds at each end of the chamber system.</t>
  </si>
  <si>
    <t>Includes storage and additional excavation area associated with a full length manifold at each end of the chamber system.</t>
  </si>
  <si>
    <t>Allows for one variable length manifold at one end of the chamber system.</t>
  </si>
  <si>
    <t>The length of each manifold may vary independently from each other.</t>
  </si>
  <si>
    <t>TAB</t>
  </si>
  <si>
    <t>CHAMBER SYSTEM CALCULATOR</t>
  </si>
  <si>
    <t>RETURN TO INDEX</t>
  </si>
  <si>
    <t>Volume (cf)</t>
  </si>
  <si>
    <t>Fitting</t>
  </si>
  <si>
    <t>Manifold</t>
  </si>
  <si>
    <t>Part No.</t>
  </si>
  <si>
    <t>A</t>
  </si>
  <si>
    <t>D</t>
  </si>
  <si>
    <t>E</t>
  </si>
  <si>
    <t>Type/Ref #</t>
  </si>
  <si>
    <t>Void (cf)</t>
  </si>
  <si>
    <t>Excavation (cf)</t>
  </si>
  <si>
    <t>Installed (cf)</t>
  </si>
  <si>
    <t xml:space="preserve">          SK75 SINGLE-TEES</t>
  </si>
  <si>
    <t>SWCB08X04RT/075</t>
  </si>
  <si>
    <t>n/a</t>
  </si>
  <si>
    <t>SWCB08X06RT/075</t>
  </si>
  <si>
    <t>SWCB08T/075</t>
  </si>
  <si>
    <t>SWCB10X04RT/075</t>
  </si>
  <si>
    <t>SWCB10x06RT/075</t>
  </si>
  <si>
    <t>SWCB10X08RT/075</t>
  </si>
  <si>
    <t>SWCB10T/075</t>
  </si>
  <si>
    <t>SWCB12X04RT/075</t>
  </si>
  <si>
    <t>SWCB12X06RT/075</t>
  </si>
  <si>
    <t>SWCB12X08RT/075</t>
  </si>
  <si>
    <t>SWCB12X10RT/075</t>
  </si>
  <si>
    <t>SWCB12T/075</t>
  </si>
  <si>
    <t>SWCB15X04RT/075</t>
  </si>
  <si>
    <t>SWCB15X06RT/075</t>
  </si>
  <si>
    <t>SWCB15X08RT/075</t>
  </si>
  <si>
    <t>SWCB15X10RT/075</t>
  </si>
  <si>
    <t>SWCB15X12RT/075</t>
  </si>
  <si>
    <t>SWCB15T/075</t>
  </si>
  <si>
    <t>SWCB18X04RT/075</t>
  </si>
  <si>
    <t>SWCB18X06RT/075</t>
  </si>
  <si>
    <t>SWCB18X08RT/075</t>
  </si>
  <si>
    <t>SWCB18X10RT/075</t>
  </si>
  <si>
    <t>SWCB18X12RT/075</t>
  </si>
  <si>
    <t>SWCB18X15RT/075</t>
  </si>
  <si>
    <t>SWCB18T/075</t>
  </si>
  <si>
    <t>SWCB24X04RT/075</t>
  </si>
  <si>
    <t>SWCB24X06RT/075</t>
  </si>
  <si>
    <t>SWCB24X08RT/075</t>
  </si>
  <si>
    <t>SWCB24X10RT/075</t>
  </si>
  <si>
    <t>SWCB24X12RT/075</t>
  </si>
  <si>
    <t>SWCB24X15RT/075</t>
  </si>
  <si>
    <t>SWCB24X18RT/075</t>
  </si>
  <si>
    <t>SWCB30X04RT/075</t>
  </si>
  <si>
    <t>SWCB30X06RT/075</t>
  </si>
  <si>
    <t>SWCB30X08RT/075</t>
  </si>
  <si>
    <t>SWCB30X10RT/075</t>
  </si>
  <si>
    <t>SWCB30X12RT/075</t>
  </si>
  <si>
    <t>SWCB30X15RT/075</t>
  </si>
  <si>
    <t>SWCB30X18RT/075</t>
  </si>
  <si>
    <t>SWCB36X04RT/075</t>
  </si>
  <si>
    <t>SWCB36X06RT/075</t>
  </si>
  <si>
    <t>SWCB36X08RT/075</t>
  </si>
  <si>
    <t>SWCB36X10RT/075</t>
  </si>
  <si>
    <t>SWCB36X12RT/075</t>
  </si>
  <si>
    <t>SWCB36X15RT/075</t>
  </si>
  <si>
    <t>SWCB36X18RT/075</t>
  </si>
  <si>
    <t>SWCB42X04RT/075</t>
  </si>
  <si>
    <t>SWCB42X06RT/075</t>
  </si>
  <si>
    <t>SWCB42X08RT/075</t>
  </si>
  <si>
    <t>SWCB42X10RT/075</t>
  </si>
  <si>
    <t>SWCB42X12RT/075</t>
  </si>
  <si>
    <t>SWCB42X15RT/075</t>
  </si>
  <si>
    <t>SWCB42X18RT/075</t>
  </si>
  <si>
    <t>SWCB48X04RT/075</t>
  </si>
  <si>
    <t>SWCB48X06RT/075</t>
  </si>
  <si>
    <t>SWCB48X08RT/075</t>
  </si>
  <si>
    <t>SWCB48X10RT/075</t>
  </si>
  <si>
    <t>SWCB48X12RT/075</t>
  </si>
  <si>
    <t>SWCB48X15RT/075</t>
  </si>
  <si>
    <t>SWCB48X18RT/075</t>
  </si>
  <si>
    <t>SWCB60X04RT/075</t>
  </si>
  <si>
    <t>SWCB60X06RT/075</t>
  </si>
  <si>
    <t>SWCB60X08RT/075</t>
  </si>
  <si>
    <t>SWCB60X10RT/075</t>
  </si>
  <si>
    <t>SWCB60X12RT/075</t>
  </si>
  <si>
    <t>SWCB60X15RT/075</t>
  </si>
  <si>
    <t>SWCB60X18RT/075</t>
  </si>
  <si>
    <t xml:space="preserve">          SK75 DOUBLE-TEES</t>
  </si>
  <si>
    <t>SWCB08X04RTX2/075</t>
  </si>
  <si>
    <t>SWCB08X06RTX2/075</t>
  </si>
  <si>
    <t>SWCB08TX2/075</t>
  </si>
  <si>
    <t>SWCB10X04RTX2/075</t>
  </si>
  <si>
    <t>SWCB10X06RTX2/075</t>
  </si>
  <si>
    <t>SWCB10X08RTX2/075</t>
  </si>
  <si>
    <t>SWCB10TX2/075</t>
  </si>
  <si>
    <t>SWCB12X04RTX2/075</t>
  </si>
  <si>
    <t>SWCB12X06RTX2/075</t>
  </si>
  <si>
    <t>SWCB12X08RTX2/075</t>
  </si>
  <si>
    <t>SWCB12X10RTX2/075</t>
  </si>
  <si>
    <t>SWCB12TX2/075</t>
  </si>
  <si>
    <t>SWCB15X04RTX2/075</t>
  </si>
  <si>
    <t>SWCB15X06RTX2/075</t>
  </si>
  <si>
    <t>SWCB15X08RTX2/075</t>
  </si>
  <si>
    <t>SWCB15X10RTX2/075</t>
  </si>
  <si>
    <t>SWCB15X12RTX2/075</t>
  </si>
  <si>
    <t>SWCB15TX2/075</t>
  </si>
  <si>
    <t>SWCB18X04RTX2/075</t>
  </si>
  <si>
    <t>SWCB18X06RTX2/075</t>
  </si>
  <si>
    <t>SWCB18X08RTX2/075</t>
  </si>
  <si>
    <t>SWCB18X10RTX2/075</t>
  </si>
  <si>
    <t>SWCB18X12RTX2/075</t>
  </si>
  <si>
    <t>SWCB18X15RTX2/075</t>
  </si>
  <si>
    <t>SWC18TX2/075</t>
  </si>
  <si>
    <t>SWCB24X04RTX2/075</t>
  </si>
  <si>
    <t>SWCB24X06RTX2/075</t>
  </si>
  <si>
    <t>SWCB24X08RTX2/075</t>
  </si>
  <si>
    <t>SWCB24X10RTX2/075</t>
  </si>
  <si>
    <t>SWCB24X12RTX2/075</t>
  </si>
  <si>
    <t>SWCB24X15RTX2/075</t>
  </si>
  <si>
    <t>SWCB24X18RTX2/075</t>
  </si>
  <si>
    <t>SWCB30X04RTX2/075</t>
  </si>
  <si>
    <t>SWCB30X06RTX2/075</t>
  </si>
  <si>
    <t>SWCB30X08RTX2/075</t>
  </si>
  <si>
    <t>SWCB30X10RTX2/075</t>
  </si>
  <si>
    <t>SWCB30X12RTX2/075</t>
  </si>
  <si>
    <t>SWCB30X15RTX2/075</t>
  </si>
  <si>
    <t>SWCB30X18RTX2/075</t>
  </si>
  <si>
    <t>SWCB36X04RTX2/075</t>
  </si>
  <si>
    <t>SWCB36X06RTX2/075</t>
  </si>
  <si>
    <t>SWCB36X08RTX2/075</t>
  </si>
  <si>
    <t>SWCB36X10RTX2/075</t>
  </si>
  <si>
    <t>SWCB36X12RTX2/075</t>
  </si>
  <si>
    <t>SWCB36X15RTX2/075</t>
  </si>
  <si>
    <t>SWCB36X18RTX2/075</t>
  </si>
  <si>
    <t>SWCB42X04RTX2/075</t>
  </si>
  <si>
    <t>SWCB42X06RTX2/075</t>
  </si>
  <si>
    <t>SWCB42X08RTX2/075</t>
  </si>
  <si>
    <t>SWCB42X10RTX2/075</t>
  </si>
  <si>
    <t>SWCB42X12RTX2/075</t>
  </si>
  <si>
    <t>SWCB42X15RTX2/075</t>
  </si>
  <si>
    <t>SWCB42X18RTX2/075</t>
  </si>
  <si>
    <t>SWCB48X04RTX2/075</t>
  </si>
  <si>
    <t>SWCB48X06RTX2/075</t>
  </si>
  <si>
    <t>SWCB48X08RTX2/075</t>
  </si>
  <si>
    <t>SWCB48X10RTX2/075</t>
  </si>
  <si>
    <t>SWCB48X12RTX2/075</t>
  </si>
  <si>
    <t>SWCB48X15RTX2/075</t>
  </si>
  <si>
    <t>SWCB48X18RTX2/075</t>
  </si>
  <si>
    <t>SWCB60X04RTX2/075</t>
  </si>
  <si>
    <t>SWCB60X06RTX2/075</t>
  </si>
  <si>
    <t>SWCB60X08RTX2/075</t>
  </si>
  <si>
    <t>SWCB60X10RTX2/075</t>
  </si>
  <si>
    <t>SWCB60X12RTX2/075</t>
  </si>
  <si>
    <t>SWCB60X15RTX2/075</t>
  </si>
  <si>
    <t>SWCB60X18RTX2/075</t>
  </si>
  <si>
    <t xml:space="preserve">          SK75 TRIPLE-TEES</t>
  </si>
  <si>
    <t>SWCB08X04RTX3/075</t>
  </si>
  <si>
    <t>SWCB08X06RTX3/075</t>
  </si>
  <si>
    <t>SWCC08TX3/075</t>
  </si>
  <si>
    <t>SWCB10X04RTX3/075</t>
  </si>
  <si>
    <t>SWCB10X06RTX3/075</t>
  </si>
  <si>
    <t>SWCB10X08RTX3/075</t>
  </si>
  <si>
    <t>SWCB10RTX3/075</t>
  </si>
  <si>
    <t>SWCB12X04RTX3/075</t>
  </si>
  <si>
    <t>SWCB12X06RTX3/075</t>
  </si>
  <si>
    <t>SWCB12X08RTX3/075</t>
  </si>
  <si>
    <t>SWCB12X10RTX3/075</t>
  </si>
  <si>
    <t>SWCB12TX3/075</t>
  </si>
  <si>
    <t>SWCB15X04RTX3/075</t>
  </si>
  <si>
    <t>SWCB15X06RTX3/075</t>
  </si>
  <si>
    <t>SWCB15X08RTX3/075</t>
  </si>
  <si>
    <t>SWCB15X10RTX3/075</t>
  </si>
  <si>
    <t>SWCB15X12RTX3/075</t>
  </si>
  <si>
    <t>SWCB15TX3/075</t>
  </si>
  <si>
    <t>SWCB18X04RTX3/075</t>
  </si>
  <si>
    <t>SWCB18X06RTX3/075</t>
  </si>
  <si>
    <t>SWCB18X08RTX3/075</t>
  </si>
  <si>
    <t>SWCB18X10RTX3/075</t>
  </si>
  <si>
    <t>SWCB18X12RTX3/075</t>
  </si>
  <si>
    <t>SWCB18X15RTX3/075</t>
  </si>
  <si>
    <t>SWC18TX3/075</t>
  </si>
  <si>
    <t>SWCB24X04RTX3/075</t>
  </si>
  <si>
    <t>SWCB24X06RTX3/075</t>
  </si>
  <si>
    <t>SWCB24X08RTX3/075</t>
  </si>
  <si>
    <t>SWCB24X10RTX3/075</t>
  </si>
  <si>
    <t>SWCB24X12RTX3/075</t>
  </si>
  <si>
    <t>SWCB24X15RTX3/075</t>
  </si>
  <si>
    <t>SWCB24X18RTX3/075</t>
  </si>
  <si>
    <t>SWCB30X04RTX3/075</t>
  </si>
  <si>
    <t>SWCB30X06RTX3/075</t>
  </si>
  <si>
    <t>SWCB30X08RTX3/075</t>
  </si>
  <si>
    <t>SWCB30X10RTX3/075</t>
  </si>
  <si>
    <t>SWCB30X12RTX3/075</t>
  </si>
  <si>
    <t>SWCB30X15RTX3/075</t>
  </si>
  <si>
    <t>SWCB30X18RTX3/075</t>
  </si>
  <si>
    <t>SWCB36X04RTX3/075</t>
  </si>
  <si>
    <t>SWCB36X06RTX3/075</t>
  </si>
  <si>
    <t>SWCB36X08RTX3/075</t>
  </si>
  <si>
    <t>SWCB36X10RTX3/075</t>
  </si>
  <si>
    <t>SWCB36X12RTX3/075</t>
  </si>
  <si>
    <t>SWCB36X15RTX3/075</t>
  </si>
  <si>
    <t>SWCB36X18RTX3/075</t>
  </si>
  <si>
    <t>SWCB42X04RTX3/075</t>
  </si>
  <si>
    <t>SWCB42X06RTX3/075</t>
  </si>
  <si>
    <t>SWCB42X08RTX3/075</t>
  </si>
  <si>
    <t>SWCB42X10RTX3/075</t>
  </si>
  <si>
    <t>SWCB42X12RTX3/075</t>
  </si>
  <si>
    <t>SWCB42X15RTX3/075</t>
  </si>
  <si>
    <t>SWCB42X18RTX3/075</t>
  </si>
  <si>
    <t>SWCB48X04RTX3/075</t>
  </si>
  <si>
    <t>SWCB48X06RTX3/075</t>
  </si>
  <si>
    <t>SWCB48X08RTX3/075</t>
  </si>
  <si>
    <t>SWCB48X10RTX3/075</t>
  </si>
  <si>
    <t>SWCB48X12RTX3/075</t>
  </si>
  <si>
    <t>SWCB48X15RTX3/075</t>
  </si>
  <si>
    <t>SWCB48X18RTX3/075</t>
  </si>
  <si>
    <t>SWCB60X04RTX3/075</t>
  </si>
  <si>
    <t>SWCB60X06RTX3/075</t>
  </si>
  <si>
    <t>SWCB60X08RTX3/075</t>
  </si>
  <si>
    <t>SWCB60X10RTX3/075</t>
  </si>
  <si>
    <t>SWCB60X12RTX3/075</t>
  </si>
  <si>
    <t>SWCB60X15RTX3/075</t>
  </si>
  <si>
    <t>SWCB60X18RTX3/075</t>
  </si>
  <si>
    <t>SK75 ELBOWS</t>
  </si>
  <si>
    <t>SWCB08EL90/075</t>
  </si>
  <si>
    <t>SWCB10EL90/075</t>
  </si>
  <si>
    <t>SWCB12EL90/075</t>
  </si>
  <si>
    <t>SWCB15EL90/075</t>
  </si>
  <si>
    <t>SWCB18EL90/075</t>
  </si>
  <si>
    <t>SWCB24EL90/075</t>
  </si>
  <si>
    <t xml:space="preserve">          SK180 SINGLE-TEES</t>
  </si>
  <si>
    <t>SWCB08X04RT/180</t>
  </si>
  <si>
    <t>SWCB08X06R/180</t>
  </si>
  <si>
    <t>SWCB08T/180</t>
  </si>
  <si>
    <t>SWCB10X04RT/180</t>
  </si>
  <si>
    <t>SWCB10X06RT/180</t>
  </si>
  <si>
    <t>SWCB10X08RT/180</t>
  </si>
  <si>
    <t>SWCB10T/180</t>
  </si>
  <si>
    <t>SWCB12X04RT/180</t>
  </si>
  <si>
    <t>SWCB12X06RT/180</t>
  </si>
  <si>
    <t>SWCB12X08RT/180</t>
  </si>
  <si>
    <t>SWCB12X10RT/180</t>
  </si>
  <si>
    <t>SWCB12T/180</t>
  </si>
  <si>
    <t>SWCB15X04RT/180</t>
  </si>
  <si>
    <t>SWCB15X06RT/180</t>
  </si>
  <si>
    <t>SWCB15X08RT/180</t>
  </si>
  <si>
    <t>SWCB15X10RT/180</t>
  </si>
  <si>
    <t>SWCB15X12RT/180</t>
  </si>
  <si>
    <t>SWCB15T/180</t>
  </si>
  <si>
    <t>SWCB18X04RT/180</t>
  </si>
  <si>
    <t>SWCB18X06RT/180</t>
  </si>
  <si>
    <t>SWCB18X08RT/180</t>
  </si>
  <si>
    <t>SWCB18X10RT/180</t>
  </si>
  <si>
    <t>SWCB18X12RT/180</t>
  </si>
  <si>
    <t>SWCB18X15RT/180</t>
  </si>
  <si>
    <t>SWCB18T/180</t>
  </si>
  <si>
    <t>SWCB24X04RT/180</t>
  </si>
  <si>
    <t>SWCB24X06RT/180</t>
  </si>
  <si>
    <t>SWCB24X08RT/180</t>
  </si>
  <si>
    <t>SWCB24X10RT/180</t>
  </si>
  <si>
    <t>SWCB24X12RT/180</t>
  </si>
  <si>
    <t>SWCB24X15RT/180</t>
  </si>
  <si>
    <t>SWCB24X18RT/180</t>
  </si>
  <si>
    <t>SWCB24T/180</t>
  </si>
  <si>
    <t>SWCB30X04RT/180</t>
  </si>
  <si>
    <t>SWCB30X06RT/180</t>
  </si>
  <si>
    <t>SWCB30X08RT/180</t>
  </si>
  <si>
    <t>SWCB30X10RT/180</t>
  </si>
  <si>
    <t>SWCB30X12RT/180</t>
  </si>
  <si>
    <t>SWCB30X15RT/180</t>
  </si>
  <si>
    <t>SWCB30X18RT/180</t>
  </si>
  <si>
    <t>SWCB30X24RT/180</t>
  </si>
  <si>
    <t>SWCB30T/180</t>
  </si>
  <si>
    <t>SWCB36X04RT/180</t>
  </si>
  <si>
    <t>SWCB36X06RT/180</t>
  </si>
  <si>
    <t>SWCB36X08RT/180</t>
  </si>
  <si>
    <t>SWCB36X10RT/180</t>
  </si>
  <si>
    <t>SWCB36X12RT/180</t>
  </si>
  <si>
    <t>SWCB36X15RT/180</t>
  </si>
  <si>
    <t>SWCB36X18RT/180</t>
  </si>
  <si>
    <t>SWCB36X24RT/180</t>
  </si>
  <si>
    <t>SWCB36X30RT/20</t>
  </si>
  <si>
    <t>SWCB42X04RT/180</t>
  </si>
  <si>
    <t>SWCB42X06RT/180</t>
  </si>
  <si>
    <t>SWCB42X08RT/180</t>
  </si>
  <si>
    <t>SWCB42X10RT/180</t>
  </si>
  <si>
    <t>SWCB42X12RT/180</t>
  </si>
  <si>
    <t>SWCB42X15RT/180</t>
  </si>
  <si>
    <t>SWCB42X18RT/180</t>
  </si>
  <si>
    <t>SWCB42X24RT/180</t>
  </si>
  <si>
    <t>SWCB42X30RT/180</t>
  </si>
  <si>
    <t>SWCB48X04RT/180</t>
  </si>
  <si>
    <t>SWCB48X06RT/180</t>
  </si>
  <si>
    <t>SWCB48X08RT/180</t>
  </si>
  <si>
    <t>SWCB48X10RT/180</t>
  </si>
  <si>
    <t>SWCB48X12RT/180</t>
  </si>
  <si>
    <t>SWCB48X15RT/180</t>
  </si>
  <si>
    <t>SWCB48X18RT/180</t>
  </si>
  <si>
    <t>SWCB48X24RT/180</t>
  </si>
  <si>
    <t>SWCB48X30RT/180</t>
  </si>
  <si>
    <t>SWCB60X04RT/180</t>
  </si>
  <si>
    <t>SWCB60X06RT/180</t>
  </si>
  <si>
    <t>SWCB60X08RT/180</t>
  </si>
  <si>
    <t>SWCB60X10RT/180</t>
  </si>
  <si>
    <t>SWCB60X12RT/180</t>
  </si>
  <si>
    <t>SWCB60X15RT/180</t>
  </si>
  <si>
    <t>SWCB60X18RT/180</t>
  </si>
  <si>
    <t>SWCB60X24RT/180</t>
  </si>
  <si>
    <t>SWCB60X30RT/180</t>
  </si>
  <si>
    <t xml:space="preserve">          SK180 DOUBLE-TEES</t>
  </si>
  <si>
    <t>SWCB08X04RTX2/180</t>
  </si>
  <si>
    <t>SWCB08X06RTX2/180</t>
  </si>
  <si>
    <t>SWCB10X04RTX2/180</t>
  </si>
  <si>
    <t>SWCB10X06RTX2/180</t>
  </si>
  <si>
    <t>SWCB10X08RTX2/180</t>
  </si>
  <si>
    <t>SWCB10TX2/180</t>
  </si>
  <si>
    <t>SWCB12X04RTX2/180</t>
  </si>
  <si>
    <t>SWCB12X06RTX2/180</t>
  </si>
  <si>
    <t>SWCB12X08RTX2/180</t>
  </si>
  <si>
    <t>SWCB12X10RTX2/180</t>
  </si>
  <si>
    <t>SWCB12TX2/180</t>
  </si>
  <si>
    <t>SWCB15X04RTX2/180</t>
  </si>
  <si>
    <t>SWCB15X06RTX2/180</t>
  </si>
  <si>
    <t>SWCB15X08RTX2/180</t>
  </si>
  <si>
    <t>SWCB15X10RTX2/180</t>
  </si>
  <si>
    <t>SWCB15X12RTX2/180</t>
  </si>
  <si>
    <t>SWCB15TX2/180</t>
  </si>
  <si>
    <t>SWCB18X04RTX2/180</t>
  </si>
  <si>
    <t>SWCB18X06RTX2/180</t>
  </si>
  <si>
    <t>SWCB18X08RTX2/180</t>
  </si>
  <si>
    <t>SWCB18X10RTX2/180</t>
  </si>
  <si>
    <t>SWCB18X12RTX2/180</t>
  </si>
  <si>
    <t>SWCB18X15RTX2/180</t>
  </si>
  <si>
    <t>SWCB18TX2/180</t>
  </si>
  <si>
    <t>SWCB24X04RTX2/180</t>
  </si>
  <si>
    <t>SWCB24X06RTX2/180</t>
  </si>
  <si>
    <t>SWCB24X08RTX2/180</t>
  </si>
  <si>
    <t>SWCB24X10RTX2/180</t>
  </si>
  <si>
    <t>SWCB24X12RTX2/180</t>
  </si>
  <si>
    <t>SWCB24X15RTX2/180</t>
  </si>
  <si>
    <t>SWCB24X18RTX2/180</t>
  </si>
  <si>
    <t>SWCB24TX2/180</t>
  </si>
  <si>
    <t>SWCB30X04RTX2/180</t>
  </si>
  <si>
    <t>SWCB30X06RTX2/180</t>
  </si>
  <si>
    <t>SWCB30X08RTX2/180</t>
  </si>
  <si>
    <t>SWCB30X10RTX2/180</t>
  </si>
  <si>
    <t>SWCB30X12RTX2/180</t>
  </si>
  <si>
    <t>SWCB30X15RTX2/180</t>
  </si>
  <si>
    <t>SWCB30X18RTX2/180</t>
  </si>
  <si>
    <t>SWCB30X24RTX2/180</t>
  </si>
  <si>
    <t>SWCB30TX2/180</t>
  </si>
  <si>
    <t>SWCB36X04RTX2/180</t>
  </si>
  <si>
    <t>SWCB36X06RTX2/180</t>
  </si>
  <si>
    <t>SWCB36X08RTX2/180</t>
  </si>
  <si>
    <t>SWCB36X10RTX2/180</t>
  </si>
  <si>
    <t>SWCB36X12RTX2/180</t>
  </si>
  <si>
    <t>SWCB36X15RTX2/180</t>
  </si>
  <si>
    <t>SWCB36X18RTX2/180</t>
  </si>
  <si>
    <t>SWCB36X24RTX2/180</t>
  </si>
  <si>
    <t>SWCB36X30RTX2/180</t>
  </si>
  <si>
    <t>SWCB42X04RTX2/180</t>
  </si>
  <si>
    <t>SWCB42X06RTX2/180</t>
  </si>
  <si>
    <t>SWCB42X08RTX2/180</t>
  </si>
  <si>
    <t>SWCB42X10RTX2/180</t>
  </si>
  <si>
    <t>SWCB42X12RTX2/180</t>
  </si>
  <si>
    <t>SWCB42X15RTX2/180</t>
  </si>
  <si>
    <t>SWCB42X18RTX2/180</t>
  </si>
  <si>
    <t>SWCB42X24RTX2/180</t>
  </si>
  <si>
    <t>SWCB42X30RTX2/180</t>
  </si>
  <si>
    <t>SWCB48X04RTX2/180</t>
  </si>
  <si>
    <t>SWCB48X06RTX2/180</t>
  </si>
  <si>
    <t>SWCB48X08RTX2/180</t>
  </si>
  <si>
    <t>SWCB48X10RTX2/180</t>
  </si>
  <si>
    <t>SWCB48X12RTX2/180</t>
  </si>
  <si>
    <t>SWCB48X15RTX2/180</t>
  </si>
  <si>
    <t>SWCB48X18RTX2/180</t>
  </si>
  <si>
    <t>SWCB48X24RTX2/180</t>
  </si>
  <si>
    <t>SWCB48X30RTX2/180</t>
  </si>
  <si>
    <t>SWCB60X04RTX2/180</t>
  </si>
  <si>
    <t>SWCB60X06RTX2/180</t>
  </si>
  <si>
    <t>SWCB60X08RTX2/180</t>
  </si>
  <si>
    <t>SWCB60X10RTX2/180</t>
  </si>
  <si>
    <t>SWCB60X12RTX2/180</t>
  </si>
  <si>
    <t>SWCB60X15RTX2/180</t>
  </si>
  <si>
    <t>SWCB60X18RTX2/180</t>
  </si>
  <si>
    <t>SWCB60X24RTX2/180</t>
  </si>
  <si>
    <t>SWCB60X30RTX2/180</t>
  </si>
  <si>
    <t>SK180 ELBOWS</t>
  </si>
  <si>
    <t>SWCB08EL90/180</t>
  </si>
  <si>
    <t>SWCB10EL90/180</t>
  </si>
  <si>
    <t>SWCB12EL90/180</t>
  </si>
  <si>
    <t>SWCB15EL90/180</t>
  </si>
  <si>
    <t>SWCB18EL90/180</t>
  </si>
  <si>
    <t>SWCB30EL90/180</t>
  </si>
  <si>
    <t>Count</t>
  </si>
  <si>
    <t>SWCB24TS075</t>
  </si>
  <si>
    <t>SWCB30X24RTS075</t>
  </si>
  <si>
    <t>SWCB36X24RTS075</t>
  </si>
  <si>
    <t>SWCB42X24RTS075</t>
  </si>
  <si>
    <t>SWCB48X24RTS075</t>
  </si>
  <si>
    <t>SWCB60X24RTS075</t>
  </si>
  <si>
    <t>SWCB24TX2S075</t>
  </si>
  <si>
    <t>SWCB30X24RTX2S075</t>
  </si>
  <si>
    <t>SWCB36X24RTX2S075</t>
  </si>
  <si>
    <t>SWCB42X24RTX2S075</t>
  </si>
  <si>
    <t>SWCB48X24RTX2S075</t>
  </si>
  <si>
    <t>SWCB60X24RTX2S075</t>
  </si>
  <si>
    <t>SWC24TX3S075</t>
  </si>
  <si>
    <t>SWCB30X24RTX3S075</t>
  </si>
  <si>
    <t>SWCB36X24RTX3S075</t>
  </si>
  <si>
    <t>SWCB42X24RTX3S075</t>
  </si>
  <si>
    <t>SWCB48X24RTX3S075</t>
  </si>
  <si>
    <t>SWCB60X24RTX3S075</t>
  </si>
  <si>
    <t>SWCB24EL90S075</t>
  </si>
  <si>
    <t>Depth</t>
  </si>
  <si>
    <t>1. Select the chamber model:</t>
  </si>
  <si>
    <t>2. Enter the total number of chambers:</t>
  </si>
  <si>
    <t>Volume</t>
  </si>
  <si>
    <t>Chamber (cf)</t>
  </si>
  <si>
    <t>Per SK75</t>
  </si>
  <si>
    <t>System (cf)</t>
  </si>
  <si>
    <t>Per SK180</t>
  </si>
  <si>
    <t>End Cap (cf)</t>
  </si>
  <si>
    <t>Per</t>
  </si>
  <si>
    <r>
      <t>StormKeeper</t>
    </r>
    <r>
      <rPr>
        <b/>
        <sz val="10"/>
        <color theme="1"/>
        <rFont val="Calibri"/>
        <family val="2"/>
      </rPr>
      <t>™</t>
    </r>
    <r>
      <rPr>
        <b/>
        <sz val="10"/>
        <color theme="1"/>
        <rFont val="Calibri"/>
        <family val="2"/>
        <scheme val="minor"/>
      </rPr>
      <t xml:space="preserve"> Stage Storage </t>
    </r>
  </si>
  <si>
    <t>3. Enter the total number of end caps:</t>
  </si>
  <si>
    <t>Total</t>
  </si>
  <si>
    <r>
      <t>4. Enter storage system footprint (ft</t>
    </r>
    <r>
      <rPr>
        <b/>
        <sz val="10"/>
        <color theme="1"/>
        <rFont val="Calibri"/>
        <family val="2"/>
      </rPr>
      <t>²</t>
    </r>
    <r>
      <rPr>
        <b/>
        <sz val="10"/>
        <color theme="1"/>
        <rFont val="Calibri"/>
        <family val="2"/>
        <scheme val="minor"/>
      </rPr>
      <t>):</t>
    </r>
  </si>
  <si>
    <t>SK31</t>
  </si>
  <si>
    <t>6" x 6"</t>
  </si>
  <si>
    <t>SK31 Manifolds</t>
  </si>
  <si>
    <t>Per SK31</t>
  </si>
  <si>
    <t>Project</t>
  </si>
  <si>
    <t>Basin ID</t>
  </si>
  <si>
    <t>Date</t>
  </si>
  <si>
    <t>3-Stage Storage</t>
  </si>
  <si>
    <t>Calculates stage storage of the chamber system.</t>
  </si>
  <si>
    <t xml:space="preserve">Includes storage of the chamber system footprint.  It does not account for manifold storage volume. </t>
  </si>
  <si>
    <t>Volume includes standard bedding stone depths and spacing with respective chamber size.</t>
  </si>
  <si>
    <t>SK290</t>
  </si>
  <si>
    <t>SK290 Manifolds</t>
  </si>
  <si>
    <t>36" x 36"</t>
  </si>
  <si>
    <t>42" x 36"</t>
  </si>
  <si>
    <t>42" x 42"</t>
  </si>
  <si>
    <t>48" x 36"</t>
  </si>
  <si>
    <t>48" x 42"</t>
  </si>
  <si>
    <t>Footing</t>
  </si>
  <si>
    <t>Width (in)</t>
  </si>
  <si>
    <r>
      <t>ft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/ft</t>
    </r>
  </si>
  <si>
    <t>kcf</t>
  </si>
  <si>
    <t>ksf</t>
  </si>
  <si>
    <t>H</t>
  </si>
  <si>
    <t>Outside Span (in)</t>
  </si>
  <si>
    <t>Effective Footing Width (in)</t>
  </si>
  <si>
    <t>Chamber Spacing (in)</t>
  </si>
  <si>
    <t>Outside Rise (in)</t>
  </si>
  <si>
    <t>Chamber Volume (cf/ft)</t>
  </si>
  <si>
    <t>Soil Density (kcf)</t>
  </si>
  <si>
    <t>kips/wheel</t>
  </si>
  <si>
    <r>
      <t>s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(ft)</t>
    </r>
  </si>
  <si>
    <r>
      <t>s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(ft)</t>
    </r>
  </si>
  <si>
    <r>
      <t>H</t>
    </r>
    <r>
      <rPr>
        <vertAlign val="subscript"/>
        <sz val="11"/>
        <rFont val="Calibri"/>
        <family val="2"/>
        <scheme val="minor"/>
      </rPr>
      <t>int-t</t>
    </r>
    <r>
      <rPr>
        <sz val="11"/>
        <rFont val="Calibri"/>
        <family val="2"/>
        <scheme val="minor"/>
      </rPr>
      <t xml:space="preserve"> (ft)</t>
    </r>
  </si>
  <si>
    <r>
      <t>H</t>
    </r>
    <r>
      <rPr>
        <vertAlign val="subscript"/>
        <sz val="11"/>
        <rFont val="Calibri"/>
        <family val="2"/>
        <scheme val="minor"/>
      </rPr>
      <t>int-p</t>
    </r>
    <r>
      <rPr>
        <sz val="11"/>
        <rFont val="Calibri"/>
        <family val="2"/>
        <scheme val="minor"/>
      </rPr>
      <t xml:space="preserve"> (ft)</t>
    </r>
  </si>
  <si>
    <t>HL93 Truck</t>
  </si>
  <si>
    <t>HS25 Truck</t>
  </si>
  <si>
    <t>HL93 Tandem</t>
  </si>
  <si>
    <t>Vehicular Live Load</t>
  </si>
  <si>
    <t>StormKeeper Chamber</t>
  </si>
  <si>
    <t>mpf</t>
  </si>
  <si>
    <t>(ksf)</t>
  </si>
  <si>
    <r>
      <rPr>
        <b/>
        <sz val="11"/>
        <rFont val="Script MT Bold"/>
        <family val="4"/>
      </rPr>
      <t>l</t>
    </r>
    <r>
      <rPr>
        <b/>
        <vertAlign val="subscript"/>
        <sz val="11"/>
        <rFont val="Calibri"/>
        <family val="2"/>
        <scheme val="minor"/>
      </rPr>
      <t>w</t>
    </r>
  </si>
  <si>
    <t>Crown-to-Crown Spacing (in)</t>
  </si>
  <si>
    <t>(k/ft)</t>
  </si>
  <si>
    <r>
      <t>DL</t>
    </r>
    <r>
      <rPr>
        <b/>
        <vertAlign val="subscript"/>
        <sz val="11"/>
        <color theme="1"/>
        <rFont val="Calibri"/>
        <family val="2"/>
        <scheme val="minor"/>
      </rPr>
      <t>sub</t>
    </r>
  </si>
  <si>
    <r>
      <t>LL</t>
    </r>
    <r>
      <rPr>
        <b/>
        <vertAlign val="subscript"/>
        <sz val="11"/>
        <rFont val="Calibri"/>
        <family val="2"/>
        <scheme val="minor"/>
      </rPr>
      <t>inplane</t>
    </r>
  </si>
  <si>
    <t>(k)</t>
  </si>
  <si>
    <r>
      <t>LL</t>
    </r>
    <r>
      <rPr>
        <b/>
        <vertAlign val="subscript"/>
        <sz val="11"/>
        <rFont val="Calibri"/>
        <family val="2"/>
        <scheme val="minor"/>
      </rPr>
      <t>subgrade</t>
    </r>
  </si>
  <si>
    <t>Subgrade</t>
  </si>
  <si>
    <t>DL+LL, S</t>
  </si>
  <si>
    <t>Standard</t>
  </si>
  <si>
    <t>Soil, Backfill, and Subgrade</t>
  </si>
  <si>
    <r>
      <t>q</t>
    </r>
    <r>
      <rPr>
        <vertAlign val="subscript"/>
        <sz val="11"/>
        <color theme="1"/>
        <rFont val="Calibri"/>
        <family val="2"/>
        <scheme val="minor"/>
      </rPr>
      <t>ult</t>
    </r>
    <r>
      <rPr>
        <sz val="11"/>
        <color theme="1"/>
        <rFont val="Calibri"/>
        <family val="2"/>
        <scheme val="minor"/>
      </rPr>
      <t xml:space="preserve"> Bedding (ksf)</t>
    </r>
  </si>
  <si>
    <r>
      <t>q</t>
    </r>
    <r>
      <rPr>
        <vertAlign val="subscript"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Subgrade (ksf)</t>
    </r>
  </si>
  <si>
    <t>Subgrade Bearing Width (in)</t>
  </si>
  <si>
    <t>Allow?</t>
  </si>
  <si>
    <t>Maxium Cover Allowed (ft)</t>
  </si>
  <si>
    <r>
      <t>span</t>
    </r>
    <r>
      <rPr>
        <vertAlign val="subscript"/>
        <sz val="11"/>
        <color theme="1"/>
        <rFont val="Calibri"/>
        <family val="2"/>
        <scheme val="minor"/>
      </rPr>
      <t>out</t>
    </r>
  </si>
  <si>
    <r>
      <t>rise</t>
    </r>
    <r>
      <rPr>
        <vertAlign val="subscript"/>
        <sz val="11"/>
        <color theme="1"/>
        <rFont val="Calibri"/>
        <family val="2"/>
        <scheme val="minor"/>
      </rPr>
      <t>out</t>
    </r>
  </si>
  <si>
    <t>sp</t>
  </si>
  <si>
    <r>
      <t>s</t>
    </r>
    <r>
      <rPr>
        <vertAlign val="subscript"/>
        <sz val="11"/>
        <color theme="1"/>
        <rFont val="Calibri"/>
        <family val="2"/>
        <scheme val="minor"/>
      </rPr>
      <t>col</t>
    </r>
  </si>
  <si>
    <r>
      <t>w</t>
    </r>
    <r>
      <rPr>
        <vertAlign val="subscript"/>
        <sz val="11"/>
        <color theme="1"/>
        <rFont val="Calibri"/>
        <family val="2"/>
        <scheme val="minor"/>
      </rPr>
      <t>foot</t>
    </r>
  </si>
  <si>
    <r>
      <t>V</t>
    </r>
    <r>
      <rPr>
        <vertAlign val="subscript"/>
        <sz val="11"/>
        <color theme="1"/>
        <rFont val="Calibri"/>
        <family val="2"/>
        <scheme val="minor"/>
      </rPr>
      <t>chamber</t>
    </r>
  </si>
  <si>
    <t>kips</t>
  </si>
  <si>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</si>
  <si>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</si>
  <si>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t>P =</t>
  </si>
  <si>
    <t>LL =</t>
  </si>
  <si>
    <r>
      <t>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</si>
  <si>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</si>
  <si>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r>
      <t>q</t>
    </r>
    <r>
      <rPr>
        <vertAlign val="subscript"/>
        <sz val="11"/>
        <color theme="1"/>
        <rFont val="Calibri"/>
        <family val="2"/>
        <scheme val="minor"/>
      </rPr>
      <t>ult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(foundation)</t>
    </r>
  </si>
  <si>
    <r>
      <t>q</t>
    </r>
    <r>
      <rPr>
        <vertAlign val="subscript"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(foundation)</t>
    </r>
  </si>
  <si>
    <t>safety factor =</t>
  </si>
  <si>
    <r>
      <t>q</t>
    </r>
    <r>
      <rPr>
        <vertAlign val="subscript"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(subgrade)</t>
    </r>
  </si>
  <si>
    <t>Cover Height Investigated, H (ft) =</t>
  </si>
  <si>
    <r>
      <t>s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/12</t>
    </r>
  </si>
  <si>
    <t>Soil, Foundation, Subgrade</t>
  </si>
  <si>
    <t>safety factor foundation</t>
  </si>
  <si>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wheel patch each end of axle</t>
    </r>
  </si>
  <si>
    <r>
      <t>H</t>
    </r>
    <r>
      <rPr>
        <vertAlign val="subscript"/>
        <sz val="11"/>
        <color theme="1"/>
        <rFont val="Calibri"/>
        <family val="2"/>
        <scheme val="minor"/>
      </rPr>
      <t>int</t>
    </r>
  </si>
  <si>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 wheel patch length</t>
    </r>
  </si>
  <si>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 wheel patch width</t>
    </r>
  </si>
  <si>
    <t>1.</t>
  </si>
  <si>
    <r>
      <t>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/12</t>
    </r>
  </si>
  <si>
    <t>=</t>
  </si>
  <si>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crown</t>
    </r>
    <r>
      <rPr>
        <sz val="11"/>
        <color theme="1"/>
        <rFont val="Calibri"/>
        <family val="2"/>
        <scheme val="minor"/>
      </rPr>
      <t xml:space="preserve"> = </t>
    </r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/12 + 1.15H</t>
    </r>
  </si>
  <si>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crown</t>
    </r>
    <r>
      <rPr>
        <sz val="11"/>
        <color theme="1"/>
        <rFont val="Calibri"/>
        <family val="2"/>
        <scheme val="minor"/>
      </rPr>
      <t xml:space="preserve"> = </t>
    </r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/12 + 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+ 1.15H</t>
    </r>
  </si>
  <si>
    <t>2.</t>
  </si>
  <si>
    <t>Determine the in-plane live load (LL) acting at depth H.</t>
  </si>
  <si>
    <t>k/ft</t>
  </si>
  <si>
    <t>3.</t>
  </si>
  <si>
    <t>4.</t>
  </si>
  <si>
    <r>
      <t>When H &lt; H</t>
    </r>
    <r>
      <rPr>
        <vertAlign val="subscript"/>
        <sz val="11"/>
        <color theme="1"/>
        <rFont val="Calibri"/>
        <family val="2"/>
        <scheme val="minor"/>
      </rPr>
      <t>int</t>
    </r>
  </si>
  <si>
    <r>
      <t>When H ≥ H</t>
    </r>
    <r>
      <rPr>
        <vertAlign val="subscript"/>
        <sz val="11"/>
        <color theme="1"/>
        <rFont val="Calibri"/>
        <family val="2"/>
        <scheme val="minor"/>
      </rPr>
      <t>int</t>
    </r>
  </si>
  <si>
    <t>Wheel spacing (out-of-plane)</t>
  </si>
  <si>
    <r>
      <t>Depth at which wheel loads from adjacent axles intersect, H</t>
    </r>
    <r>
      <rPr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 xml:space="preserve"> =</t>
    </r>
  </si>
  <si>
    <t>5.</t>
  </si>
  <si>
    <r>
      <rPr>
        <sz val="11"/>
        <rFont val="Script MT Bold"/>
        <family val="4"/>
      </rPr>
      <t>w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(in)</t>
    </r>
  </si>
  <si>
    <r>
      <rPr>
        <sz val="11"/>
        <rFont val="Script MT Bold"/>
        <family val="4"/>
      </rPr>
      <t>l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(in)</t>
    </r>
  </si>
  <si>
    <r>
      <t>Depth at which wheel loads on the same axle intersect, H</t>
    </r>
    <r>
      <rPr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 xml:space="preserve"> =</t>
    </r>
  </si>
  <si>
    <t>6 ft</t>
  </si>
  <si>
    <r>
      <t>H</t>
    </r>
    <r>
      <rPr>
        <i/>
        <vertAlign val="subscript"/>
        <sz val="11"/>
        <color theme="1"/>
        <rFont val="Calibri"/>
        <family val="2"/>
        <scheme val="minor"/>
      </rPr>
      <t>found/sub</t>
    </r>
    <r>
      <rPr>
        <i/>
        <sz val="11"/>
        <color theme="1"/>
        <rFont val="Calibri"/>
        <family val="2"/>
        <scheme val="minor"/>
      </rPr>
      <t xml:space="preserve"> &lt; H</t>
    </r>
    <r>
      <rPr>
        <i/>
        <vertAlign val="subscript"/>
        <sz val="11"/>
        <color theme="1"/>
        <rFont val="Calibri"/>
        <family val="2"/>
        <scheme val="minor"/>
      </rPr>
      <t>int</t>
    </r>
  </si>
  <si>
    <r>
      <t>H</t>
    </r>
    <r>
      <rPr>
        <i/>
        <vertAlign val="subscript"/>
        <sz val="11"/>
        <color theme="1"/>
        <rFont val="Calibri"/>
        <family val="2"/>
        <scheme val="minor"/>
      </rPr>
      <t>found/sub</t>
    </r>
    <r>
      <rPr>
        <i/>
        <sz val="11"/>
        <color theme="1"/>
        <rFont val="Calibri"/>
        <family val="2"/>
        <scheme val="minor"/>
      </rPr>
      <t xml:space="preserve"> ≥ H</t>
    </r>
    <r>
      <rPr>
        <i/>
        <vertAlign val="subscript"/>
        <sz val="11"/>
        <color theme="1"/>
        <rFont val="Calibri"/>
        <family val="2"/>
        <scheme val="minor"/>
      </rPr>
      <t>int</t>
    </r>
  </si>
  <si>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found/sub</t>
    </r>
    <r>
      <rPr>
        <sz val="11"/>
        <color theme="1"/>
        <rFont val="Calibri"/>
        <family val="2"/>
        <scheme val="minor"/>
      </rPr>
      <t xml:space="preserve"> = </t>
    </r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/12 + 1.15H</t>
    </r>
    <r>
      <rPr>
        <vertAlign val="subscript"/>
        <sz val="11"/>
        <color theme="1"/>
        <rFont val="Calibri"/>
        <family val="2"/>
        <scheme val="minor"/>
      </rPr>
      <t>found/sub</t>
    </r>
  </si>
  <si>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found/sub</t>
    </r>
    <r>
      <rPr>
        <sz val="11"/>
        <color theme="1"/>
        <rFont val="Calibri"/>
        <family val="2"/>
        <scheme val="minor"/>
      </rPr>
      <t xml:space="preserve"> = </t>
    </r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/12 + s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+ 1.15H</t>
    </r>
    <r>
      <rPr>
        <vertAlign val="subscript"/>
        <sz val="11"/>
        <color theme="1"/>
        <rFont val="Calibri"/>
        <family val="2"/>
        <scheme val="minor"/>
      </rPr>
      <t>found/sub</t>
    </r>
  </si>
  <si>
    <t>P=</t>
  </si>
  <si>
    <r>
      <t>Crown</t>
    </r>
    <r>
      <rPr>
        <vertAlign val="subscript"/>
        <sz val="11"/>
        <color theme="1"/>
        <rFont val="Calibri"/>
        <family val="2"/>
        <scheme val="minor"/>
      </rPr>
      <t>sp</t>
    </r>
  </si>
  <si>
    <r>
      <t xml:space="preserve">When </t>
    </r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crown</t>
    </r>
    <r>
      <rPr>
        <sz val="11"/>
        <color theme="1"/>
        <rFont val="Calibri"/>
        <family val="2"/>
        <scheme val="minor"/>
      </rPr>
      <t xml:space="preserve"> &lt; Crown</t>
    </r>
    <r>
      <rPr>
        <vertAlign val="subscript"/>
        <sz val="11"/>
        <color theme="1"/>
        <rFont val="Calibri"/>
        <family val="2"/>
        <scheme val="minor"/>
      </rPr>
      <t>sp</t>
    </r>
  </si>
  <si>
    <r>
      <t xml:space="preserve">When </t>
    </r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crown</t>
    </r>
    <r>
      <rPr>
        <sz val="11"/>
        <color theme="1"/>
        <rFont val="Calibri"/>
        <family val="2"/>
        <scheme val="minor"/>
      </rPr>
      <t xml:space="preserve"> &gt; Crown</t>
    </r>
    <r>
      <rPr>
        <vertAlign val="subscript"/>
        <sz val="11"/>
        <color theme="1"/>
        <rFont val="Calibri"/>
        <family val="2"/>
        <scheme val="minor"/>
      </rPr>
      <t>sp</t>
    </r>
  </si>
  <si>
    <r>
      <t>Determine the in-plane live load distribution length at the depth of the chamber crown (</t>
    </r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crown</t>
    </r>
    <r>
      <rPr>
        <sz val="11"/>
        <color theme="1"/>
        <rFont val="Calibri"/>
        <family val="2"/>
        <scheme val="minor"/>
      </rPr>
      <t>) using a live load distribution factor (LLDF) of 1.15.</t>
    </r>
  </si>
  <si>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</si>
  <si>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</si>
  <si>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</si>
  <si>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</si>
  <si>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multiple presence factor, </t>
    </r>
    <r>
      <rPr>
        <i/>
        <sz val="11"/>
        <color theme="1"/>
        <rFont val="Calibri"/>
        <family val="2"/>
        <scheme val="minor"/>
      </rPr>
      <t>mpf</t>
    </r>
    <r>
      <rPr>
        <sz val="11"/>
        <color theme="1"/>
        <rFont val="Calibri"/>
        <family val="2"/>
        <scheme val="minor"/>
      </rPr>
      <t xml:space="preserve"> =</t>
    </r>
  </si>
  <si>
    <t>check</t>
  </si>
  <si>
    <t>6.</t>
  </si>
  <si>
    <r>
      <t>Determine the out-of-plane live load distribution width at the top of the foundation (</t>
    </r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>) and at the top of the subgrade (</t>
    </r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>).</t>
    </r>
  </si>
  <si>
    <r>
      <t>Determine the out-of-plane live load acting at the top of the foundation (LL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>) and at the top of the subgrade (LL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>).</t>
    </r>
  </si>
  <si>
    <t>7.</t>
  </si>
  <si>
    <t>8.</t>
  </si>
  <si>
    <r>
      <t xml:space="preserve">Soil Density, </t>
    </r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  <scheme val="minor"/>
      </rPr>
      <t>soil</t>
    </r>
  </si>
  <si>
    <r>
      <t>DL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 xml:space="preserve"> = [Crown</t>
    </r>
    <r>
      <rPr>
        <vertAlign val="subscript"/>
        <sz val="11"/>
        <color theme="1"/>
        <rFont val="Calibri"/>
        <family val="2"/>
        <scheme val="minor"/>
      </rPr>
      <t>sp</t>
    </r>
    <r>
      <rPr>
        <sz val="11"/>
        <color theme="1"/>
        <rFont val="Calibri"/>
        <family val="2"/>
      </rPr>
      <t>·H</t>
    </r>
    <r>
      <rPr>
        <vertAlign val="subscript"/>
        <sz val="11"/>
        <color theme="1"/>
        <rFont val="Calibri"/>
        <family val="2"/>
      </rPr>
      <t>found</t>
    </r>
    <r>
      <rPr>
        <sz val="11"/>
        <color theme="1"/>
        <rFont val="Calibri"/>
        <family val="2"/>
      </rPr>
      <t xml:space="preserve"> - V</t>
    </r>
    <r>
      <rPr>
        <vertAlign val="subscript"/>
        <sz val="11"/>
        <color theme="1"/>
        <rFont val="Calibri"/>
        <family val="2"/>
      </rPr>
      <t>chamber</t>
    </r>
    <r>
      <rPr>
        <sz val="11"/>
        <color theme="1"/>
        <rFont val="Calibri"/>
        <family val="2"/>
      </rPr>
      <t xml:space="preserve">] </t>
    </r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</rPr>
      <t>soil</t>
    </r>
    <r>
      <rPr>
        <sz val="11"/>
        <color theme="1"/>
        <rFont val="Calibri"/>
        <family val="2"/>
        <scheme val="minor"/>
      </rPr>
      <t xml:space="preserve"> =</t>
    </r>
  </si>
  <si>
    <r>
      <t>DL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 xml:space="preserve"> = [Crown</t>
    </r>
    <r>
      <rPr>
        <vertAlign val="subscript"/>
        <sz val="11"/>
        <color theme="1"/>
        <rFont val="Calibri"/>
        <family val="2"/>
        <scheme val="minor"/>
      </rPr>
      <t>sp</t>
    </r>
    <r>
      <rPr>
        <sz val="11"/>
        <color theme="1"/>
        <rFont val="Calibri"/>
        <family val="2"/>
      </rPr>
      <t>·H</t>
    </r>
    <r>
      <rPr>
        <vertAlign val="subscript"/>
        <sz val="11"/>
        <color theme="1"/>
        <rFont val="Calibri"/>
        <family val="2"/>
      </rPr>
      <t>sub</t>
    </r>
    <r>
      <rPr>
        <sz val="11"/>
        <color theme="1"/>
        <rFont val="Calibri"/>
        <family val="2"/>
      </rPr>
      <t xml:space="preserve"> - V</t>
    </r>
    <r>
      <rPr>
        <vertAlign val="subscript"/>
        <sz val="11"/>
        <color theme="1"/>
        <rFont val="Calibri"/>
        <family val="2"/>
      </rPr>
      <t>chamber</t>
    </r>
    <r>
      <rPr>
        <sz val="11"/>
        <color theme="1"/>
        <rFont val="Calibri"/>
        <family val="2"/>
      </rPr>
      <t xml:space="preserve">] </t>
    </r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</rPr>
      <t>soil</t>
    </r>
    <r>
      <rPr>
        <sz val="11"/>
        <color theme="1"/>
        <rFont val="Calibri"/>
        <family val="2"/>
        <scheme val="minor"/>
      </rPr>
      <t xml:space="preserve"> =</t>
    </r>
  </si>
  <si>
    <r>
      <t>LL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 xml:space="preserve"> =</t>
    </r>
  </si>
  <si>
    <r>
      <t>LL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 xml:space="preserve"> =</t>
    </r>
  </si>
  <si>
    <r>
      <t>LL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</si>
  <si>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crown</t>
    </r>
    <r>
      <rPr>
        <sz val="11"/>
        <color theme="1"/>
        <rFont val="Calibri"/>
        <family val="2"/>
        <scheme val="minor"/>
      </rPr>
      <t xml:space="preserve"> = </t>
    </r>
  </si>
  <si>
    <t>9.</t>
  </si>
  <si>
    <r>
      <t>Determine the total in-plane live load acting within the center-to-center crown spacing (Crown</t>
    </r>
    <r>
      <rPr>
        <vertAlign val="subscript"/>
        <sz val="11"/>
        <color theme="1"/>
        <rFont val="Calibri"/>
        <family val="2"/>
        <scheme val="minor"/>
      </rPr>
      <t>sp</t>
    </r>
    <r>
      <rPr>
        <sz val="11"/>
        <color theme="1"/>
        <rFont val="Calibri"/>
        <family val="2"/>
        <scheme val="minor"/>
      </rPr>
      <t>).</t>
    </r>
  </si>
  <si>
    <r>
      <t>LL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 xml:space="preserve"> = LL</t>
    </r>
    <r>
      <rPr>
        <sz val="11"/>
        <color theme="1"/>
        <rFont val="Calibri"/>
        <family val="2"/>
      </rPr>
      <t>·</t>
    </r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crown</t>
    </r>
  </si>
  <si>
    <r>
      <t>LL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 xml:space="preserve"> = LL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2"/>
        <scheme val="minor"/>
      </rPr>
      <t>Crown</t>
    </r>
    <r>
      <rPr>
        <vertAlign val="subscript"/>
        <sz val="11"/>
        <color theme="1"/>
        <rFont val="Calibri"/>
        <family val="2"/>
        <scheme val="minor"/>
      </rPr>
      <t>sp</t>
    </r>
  </si>
  <si>
    <r>
      <t>Determine the dead load acting at the top of the foundation (DL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>) and at the top of the subgrade (DL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>).</t>
    </r>
  </si>
  <si>
    <r>
      <t>Determine the bearing pressures at the top of the foundation(p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>) and at the top of the subgrade (p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>).</t>
    </r>
  </si>
  <si>
    <r>
      <t>p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 xml:space="preserve"> = (DL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 xml:space="preserve"> + LL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>)/s</t>
    </r>
    <r>
      <rPr>
        <vertAlign val="subscript"/>
        <sz val="11"/>
        <color theme="1"/>
        <rFont val="Calibri"/>
        <family val="2"/>
        <scheme val="minor"/>
      </rPr>
      <t>col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</si>
  <si>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</si>
  <si>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f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</si>
  <si>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 xml:space="preserve"> = (DL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 xml:space="preserve"> + LL</t>
    </r>
    <r>
      <rPr>
        <vertAlign val="subscript"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>)/(s</t>
    </r>
    <r>
      <rPr>
        <vertAlign val="subscript"/>
        <sz val="11"/>
        <color theme="1"/>
        <rFont val="Calibri"/>
        <family val="2"/>
        <scheme val="minor"/>
      </rPr>
      <t>col</t>
    </r>
    <r>
      <rPr>
        <sz val="11"/>
        <color theme="1"/>
        <rFont val="Calibri"/>
        <family val="2"/>
        <scheme val="minor"/>
      </rPr>
      <t xml:space="preserve"> + 1.15 f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 =</t>
    </r>
  </si>
  <si>
    <t>≥</t>
  </si>
  <si>
    <t>therefoe okay</t>
  </si>
  <si>
    <r>
      <t>Safety Factor, q</t>
    </r>
    <r>
      <rPr>
        <vertAlign val="subscript"/>
        <sz val="11"/>
        <color theme="1"/>
        <rFont val="Calibri"/>
        <family val="2"/>
        <scheme val="minor"/>
      </rPr>
      <t>ult</t>
    </r>
    <r>
      <rPr>
        <sz val="11"/>
        <color theme="1"/>
        <rFont val="Calibri"/>
        <family val="2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found</t>
    </r>
    <r>
      <rPr>
        <sz val="11"/>
        <color theme="1"/>
        <rFont val="Calibri"/>
        <family val="2"/>
        <scheme val="minor"/>
      </rPr>
      <t xml:space="preserve"> =</t>
    </r>
  </si>
  <si>
    <t>Chamber bearing pressure analsysis per the method described in ASTM F2787</t>
  </si>
  <si>
    <r>
      <t>DL</t>
    </r>
    <r>
      <rPr>
        <b/>
        <vertAlign val="subscript"/>
        <sz val="11"/>
        <color theme="1"/>
        <rFont val="Calibri"/>
        <family val="2"/>
        <scheme val="minor"/>
      </rPr>
      <t>found</t>
    </r>
  </si>
  <si>
    <t>DL+LL, F</t>
  </si>
  <si>
    <r>
      <t>LL</t>
    </r>
    <r>
      <rPr>
        <b/>
        <vertAlign val="subscript"/>
        <sz val="11"/>
        <rFont val="Calibri"/>
        <family val="2"/>
        <scheme val="minor"/>
      </rPr>
      <t>found</t>
    </r>
  </si>
  <si>
    <t>Found</t>
  </si>
  <si>
    <t>Foundation Thickness (in)</t>
  </si>
  <si>
    <t>Foundation Bearing Width (in)</t>
  </si>
  <si>
    <r>
      <t>q</t>
    </r>
    <r>
      <rPr>
        <vertAlign val="subscript"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Foundation (ksf)</t>
    </r>
  </si>
  <si>
    <r>
      <t>LL</t>
    </r>
    <r>
      <rPr>
        <vertAlign val="subscript"/>
        <sz val="11"/>
        <color theme="1"/>
        <rFont val="Calibri"/>
        <family val="2"/>
        <scheme val="minor"/>
      </rPr>
      <t>found/sub</t>
    </r>
    <r>
      <rPr>
        <sz val="11"/>
        <color theme="1"/>
        <rFont val="Calibri"/>
        <family val="4"/>
        <scheme val="minor"/>
      </rPr>
      <t xml:space="preserve"> = </t>
    </r>
    <r>
      <rPr>
        <i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4"/>
        <scheme val="minor"/>
      </rPr>
      <t>LL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4"/>
        <scheme val="minor"/>
      </rPr>
      <t>/</t>
    </r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found/sub</t>
    </r>
  </si>
  <si>
    <r>
      <t>LL</t>
    </r>
    <r>
      <rPr>
        <vertAlign val="subscript"/>
        <sz val="11"/>
        <color theme="1"/>
        <rFont val="Calibri"/>
        <family val="2"/>
        <scheme val="minor"/>
      </rPr>
      <t>found/sub</t>
    </r>
    <r>
      <rPr>
        <sz val="11"/>
        <color theme="1"/>
        <rFont val="Calibri"/>
        <family val="4"/>
        <scheme val="minor"/>
      </rPr>
      <t xml:space="preserve"> = </t>
    </r>
    <r>
      <rPr>
        <sz val="11"/>
        <color theme="1"/>
        <rFont val="Calibri"/>
        <family val="2"/>
        <scheme val="minor"/>
      </rPr>
      <t>LL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4"/>
        <scheme val="minor"/>
      </rPr>
      <t>/</t>
    </r>
    <r>
      <rPr>
        <sz val="11"/>
        <color theme="1"/>
        <rFont val="Script MT Bold"/>
        <family val="4"/>
      </rPr>
      <t>w</t>
    </r>
    <r>
      <rPr>
        <vertAlign val="subscript"/>
        <sz val="11"/>
        <color theme="1"/>
        <rFont val="Calibri"/>
        <family val="2"/>
        <scheme val="minor"/>
      </rPr>
      <t>found/sub</t>
    </r>
  </si>
  <si>
    <r>
      <t xml:space="preserve">LL = </t>
    </r>
    <r>
      <rPr>
        <i/>
        <sz val="11"/>
        <color theme="1"/>
        <rFont val="Calibri"/>
        <family val="2"/>
        <scheme val="minor"/>
      </rPr>
      <t>mpf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2"/>
        <scheme val="minor"/>
      </rPr>
      <t>P/</t>
    </r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crown</t>
    </r>
  </si>
  <si>
    <r>
      <t>LL = 2</t>
    </r>
    <r>
      <rPr>
        <sz val="11"/>
        <color theme="1"/>
        <rFont val="Calibri"/>
        <family val="2"/>
      </rPr>
      <t>·</t>
    </r>
    <r>
      <rPr>
        <i/>
        <sz val="11"/>
        <color theme="1"/>
        <rFont val="Calibri"/>
        <family val="2"/>
        <scheme val="minor"/>
      </rPr>
      <t>mpf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2"/>
        <scheme val="minor"/>
      </rPr>
      <t>P/</t>
    </r>
    <r>
      <rPr>
        <sz val="11"/>
        <color theme="1"/>
        <rFont val="Script MT Bold"/>
        <family val="4"/>
      </rPr>
      <t>l</t>
    </r>
    <r>
      <rPr>
        <vertAlign val="subscript"/>
        <sz val="11"/>
        <color theme="1"/>
        <rFont val="Calibri"/>
        <family val="2"/>
        <scheme val="minor"/>
      </rPr>
      <t>crown</t>
    </r>
  </si>
  <si>
    <r>
      <t>q</t>
    </r>
    <r>
      <rPr>
        <i/>
        <vertAlign val="subscript"/>
        <sz val="11"/>
        <color rgb="FFFF0000"/>
        <rFont val="Calibri"/>
        <family val="2"/>
        <scheme val="minor"/>
      </rPr>
      <t>all</t>
    </r>
    <r>
      <rPr>
        <i/>
        <sz val="11"/>
        <color rgb="FFFF0000"/>
        <rFont val="Calibri"/>
        <family val="2"/>
        <scheme val="minor"/>
      </rPr>
      <t xml:space="preserve"> =</t>
    </r>
  </si>
  <si>
    <r>
      <t>q</t>
    </r>
    <r>
      <rPr>
        <i/>
        <vertAlign val="subscript"/>
        <sz val="11"/>
        <color rgb="FFFF0000"/>
        <rFont val="Calibri"/>
        <family val="2"/>
        <scheme val="minor"/>
      </rPr>
      <t>all</t>
    </r>
    <r>
      <rPr>
        <i/>
        <sz val="11"/>
        <color rgb="FFFF0000"/>
        <rFont val="Calibri"/>
        <family val="2"/>
        <scheme val="minor"/>
      </rPr>
      <t xml:space="preserve"> per engineer of record</t>
    </r>
  </si>
  <si>
    <t>60" x 4"</t>
  </si>
  <si>
    <t>60" x 6"</t>
  </si>
  <si>
    <t>60" x 8"</t>
  </si>
  <si>
    <t>60" x 10"</t>
  </si>
  <si>
    <t>60" x 12"</t>
  </si>
  <si>
    <t>60" x 15"</t>
  </si>
  <si>
    <t>60" x 18"</t>
  </si>
  <si>
    <t>60" x 24"</t>
  </si>
  <si>
    <t>60" x 30"</t>
  </si>
  <si>
    <t>60" x 36"</t>
  </si>
  <si>
    <t>60" x 42"</t>
  </si>
  <si>
    <t>6" x 4"</t>
  </si>
  <si>
    <t xml:space="preserve">          SK290 SINGLE-TEES</t>
  </si>
  <si>
    <t xml:space="preserve">          SK290 DOUBLE-TEES</t>
  </si>
  <si>
    <t>SK290 ELBOWS</t>
  </si>
  <si>
    <t>SWCB08X04RT/290</t>
  </si>
  <si>
    <t>SWCB08TX2/180</t>
  </si>
  <si>
    <t>SWCB08T/290</t>
  </si>
  <si>
    <t>SWCB10X04RT/290</t>
  </si>
  <si>
    <t>SWCB10X06RT/290</t>
  </si>
  <si>
    <t>SWCB10X08RT/290</t>
  </si>
  <si>
    <t>SWCB10T/290</t>
  </si>
  <si>
    <t>SWCB12X04RT/290</t>
  </si>
  <si>
    <t>SWCB12X06RT/290</t>
  </si>
  <si>
    <t>SWCB12X08RT/290</t>
  </si>
  <si>
    <t>SWCB12X10RT/290</t>
  </si>
  <si>
    <t>SWCB12T/290</t>
  </si>
  <si>
    <t>SWCB15X04RT/290</t>
  </si>
  <si>
    <t>SWCB15X06RT/290</t>
  </si>
  <si>
    <t>SWCB15X08RT/290</t>
  </si>
  <si>
    <t>SWCB15X10RT/290</t>
  </si>
  <si>
    <t>SWCB15X12RT/290</t>
  </si>
  <si>
    <t>SWCB15T/290</t>
  </si>
  <si>
    <t>SWCB18X04RT/290</t>
  </si>
  <si>
    <t>SWCB18X06RT/290</t>
  </si>
  <si>
    <t>SWCB18X08RT/290</t>
  </si>
  <si>
    <t>SWCB18X10RT/290</t>
  </si>
  <si>
    <t>SWCB18X12RT/290</t>
  </si>
  <si>
    <t>SWCB18X15RT/290</t>
  </si>
  <si>
    <t>SWCB18T/290</t>
  </si>
  <si>
    <t>SWCB24X04RT/290</t>
  </si>
  <si>
    <t>SWCB24X06RT/290</t>
  </si>
  <si>
    <t>SWCB24X08RT/290</t>
  </si>
  <si>
    <t>SWCB24X10RT/290</t>
  </si>
  <si>
    <t>SWCB24X12RT/290</t>
  </si>
  <si>
    <t>SWCB24X15RT/290</t>
  </si>
  <si>
    <t>SWCB24X18RT/290</t>
  </si>
  <si>
    <t>SWCB24T/290</t>
  </si>
  <si>
    <t>SWCB30X04RT/290</t>
  </si>
  <si>
    <t>SWCB30X06RT/290</t>
  </si>
  <si>
    <t>SWCB30X08RT/290</t>
  </si>
  <si>
    <t>SWCB30X10RT/290</t>
  </si>
  <si>
    <t>SWCB30X12RT/290</t>
  </si>
  <si>
    <t>SWCB30X15RT/290</t>
  </si>
  <si>
    <t>SWCB30X18RT/290</t>
  </si>
  <si>
    <t>SWCB30X24RT/290</t>
  </si>
  <si>
    <t>SWCB30T/290</t>
  </si>
  <si>
    <t>SWCB36X04RT/290</t>
  </si>
  <si>
    <t>SWCB36X06RT/290</t>
  </si>
  <si>
    <t>SWCB36X08RT/290</t>
  </si>
  <si>
    <t>SWCB36X10RT/290</t>
  </si>
  <si>
    <t>SWCB36X12RT/290</t>
  </si>
  <si>
    <t>SWCB36X15RT/290</t>
  </si>
  <si>
    <t>SWCB36X18RT/290</t>
  </si>
  <si>
    <t>SWCB36X24RT/290</t>
  </si>
  <si>
    <t>SWCB36X30RT/290</t>
  </si>
  <si>
    <t>SWCB42X04RT/290</t>
  </si>
  <si>
    <t>SWCB42X06RT/290</t>
  </si>
  <si>
    <t>SWCB42X08RT/290</t>
  </si>
  <si>
    <t>SWCB42X10RT/290</t>
  </si>
  <si>
    <t>SWCB42X12RT/290</t>
  </si>
  <si>
    <t>SWCB42X15RT/290</t>
  </si>
  <si>
    <t>SWCB42X18RT/290</t>
  </si>
  <si>
    <t>SWCB42X24RT/290</t>
  </si>
  <si>
    <t>SWCB42X30RT/290</t>
  </si>
  <si>
    <t>SWCB48X04RT/290</t>
  </si>
  <si>
    <t>SWCB48X06RT/290</t>
  </si>
  <si>
    <t>SWCB48X08RT/290</t>
  </si>
  <si>
    <t>SWCB48X10RT/290</t>
  </si>
  <si>
    <t>SWCB48X12RT/290</t>
  </si>
  <si>
    <t>SWCB48X15RT/290</t>
  </si>
  <si>
    <t>SWCB48X18RT/290</t>
  </si>
  <si>
    <t>SWCB48X24RT/290</t>
  </si>
  <si>
    <t>SWCB48X30RT/290</t>
  </si>
  <si>
    <t>SWCB60X04RT/290</t>
  </si>
  <si>
    <t>SWCB60X06RT/290</t>
  </si>
  <si>
    <t>SWCB60X08RT/290</t>
  </si>
  <si>
    <t>SWCB60X10RT/290</t>
  </si>
  <si>
    <t>SWCB60X12RT/290</t>
  </si>
  <si>
    <t>SWCB60X15RT/290</t>
  </si>
  <si>
    <t>SWCB60X18RT/290</t>
  </si>
  <si>
    <t>SWCB60X24RT/290</t>
  </si>
  <si>
    <t>SWCB60X30RT/290</t>
  </si>
  <si>
    <t>SWCB08X04RTX2/290</t>
  </si>
  <si>
    <t>SWCB08X06RTX2/290</t>
  </si>
  <si>
    <t>SWCB10X04RTX2/290</t>
  </si>
  <si>
    <t>SWCB10X06RTX2/290</t>
  </si>
  <si>
    <t>SWCB10X08RTX2/290</t>
  </si>
  <si>
    <t>SWCB10TX2/290</t>
  </si>
  <si>
    <t>SWCB12X04RTX2/290</t>
  </si>
  <si>
    <t>SWCB12X06RTX2/290</t>
  </si>
  <si>
    <t>SWCB12X08RTX2/290</t>
  </si>
  <si>
    <t>SWCB12X10RTX2/290</t>
  </si>
  <si>
    <t>SWCB12TX2/290</t>
  </si>
  <si>
    <t>SWCB15X04RTX2/290</t>
  </si>
  <si>
    <t>SWCB15X06RTX2/290</t>
  </si>
  <si>
    <t>SWCB15X08RTX2/290</t>
  </si>
  <si>
    <t>SWCB15X10RTX2/290</t>
  </si>
  <si>
    <t>SWCB15X12RTX2/290</t>
  </si>
  <si>
    <t>SWCB15TX2/290</t>
  </si>
  <si>
    <t>SWCB18X04RTX2/290</t>
  </si>
  <si>
    <t>SWCB18X06RTX2/290</t>
  </si>
  <si>
    <t>SWCB18X08RTX2/290</t>
  </si>
  <si>
    <t>SWCB18X10RTX2/290</t>
  </si>
  <si>
    <t>SWCB18X12RTX2/290</t>
  </si>
  <si>
    <t>SWCB18X15RTX2/290</t>
  </si>
  <si>
    <t>SWCB18TX2/290</t>
  </si>
  <si>
    <t>SWCB24X04RTX2/290</t>
  </si>
  <si>
    <t>SWCB24X06RTX2/290</t>
  </si>
  <si>
    <t>SWCB24X08RTX2/290</t>
  </si>
  <si>
    <t>SWCB24X10RTX2/290</t>
  </si>
  <si>
    <t>SWCB24X12RTX2/290</t>
  </si>
  <si>
    <t>SWCB24X15RTX2/290</t>
  </si>
  <si>
    <t>SWCB24X18RTX2/290</t>
  </si>
  <si>
    <t>SWCB24TX2/290</t>
  </si>
  <si>
    <t>SWCB30X04RTX2/290</t>
  </si>
  <si>
    <t>SWCB30X06RTX2/290</t>
  </si>
  <si>
    <t>SWCB30X08RTX2/290</t>
  </si>
  <si>
    <t>SWCB30X10RTX2/290</t>
  </si>
  <si>
    <t>SWCB30X12RTX2/290</t>
  </si>
  <si>
    <t>SWCB30X15RTX2/290</t>
  </si>
  <si>
    <t>SWCB30X18RTX2/290</t>
  </si>
  <si>
    <t>SWCB30X24RTX2/290</t>
  </si>
  <si>
    <t>SWCB30TX2/290</t>
  </si>
  <si>
    <t>SWCB36X04RTX2/290</t>
  </si>
  <si>
    <t>SWCB36X06RTX2/290</t>
  </si>
  <si>
    <t>SWCB36X08RTX2/290</t>
  </si>
  <si>
    <t>SWCB36X10RTX2/290</t>
  </si>
  <si>
    <t>SWCB36X12RTX2/290</t>
  </si>
  <si>
    <t>SWCB36X15RTX2/290</t>
  </si>
  <si>
    <t>SWCB36X18RTX2/290</t>
  </si>
  <si>
    <t>SWCB36X24RTX2/290</t>
  </si>
  <si>
    <t>SWCB36X30RTX2/290</t>
  </si>
  <si>
    <t>SWCB42X04RTX2/290</t>
  </si>
  <si>
    <t>SWCB42X06RTX2/290</t>
  </si>
  <si>
    <t>SWCB42X08RTX2/290</t>
  </si>
  <si>
    <t>SWCB42X10RTX2/290</t>
  </si>
  <si>
    <t>SWCB42X12RTX2/290</t>
  </si>
  <si>
    <t>SWCB42X15RTX2/290</t>
  </si>
  <si>
    <t>SWCB42X18RTX2/290</t>
  </si>
  <si>
    <t>SWCB42X24RTX2/290</t>
  </si>
  <si>
    <t>SWCB42X30RTX2/290</t>
  </si>
  <si>
    <t>SWCB48X04RTX2/290</t>
  </si>
  <si>
    <t>SWCB48X06RTX2/290</t>
  </si>
  <si>
    <t>SWCB48X08RTX2/290</t>
  </si>
  <si>
    <t>SWCB48X10RTX2/290</t>
  </si>
  <si>
    <t>SWCB48X12RTX2/290</t>
  </si>
  <si>
    <t>SWCB48X15RTX2/290</t>
  </si>
  <si>
    <t>SWCB48X18RTX2/290</t>
  </si>
  <si>
    <t>SWCB48X24RTX2/290</t>
  </si>
  <si>
    <t>SWCB48X30RTX2/290</t>
  </si>
  <si>
    <t>SWCB60X04RTX2/290</t>
  </si>
  <si>
    <t>SWCB60X06RTX2/290</t>
  </si>
  <si>
    <t>SWCB60X08RTX2/290</t>
  </si>
  <si>
    <t>SWCB60X10RTX2/290</t>
  </si>
  <si>
    <t>SWCB60X12RTX2/290</t>
  </si>
  <si>
    <t>SWCB60X15RTX2/290</t>
  </si>
  <si>
    <t>SWCB60X18RTX2/290</t>
  </si>
  <si>
    <t>SWCB60X24RTX2/290</t>
  </si>
  <si>
    <t>SWCB60X30RTX2/290</t>
  </si>
  <si>
    <t>SWCB08EL90/290</t>
  </si>
  <si>
    <t>SWCB10EL90/290</t>
  </si>
  <si>
    <t>SWCB12EL90/290</t>
  </si>
  <si>
    <t>SWCB15EL90/290</t>
  </si>
  <si>
    <t>SWCB18EL90/290</t>
  </si>
  <si>
    <t>SWCB24EL90/290</t>
  </si>
  <si>
    <t>SWCB30EL90/290</t>
  </si>
  <si>
    <t>SWCB36EL90/290</t>
  </si>
  <si>
    <t>SWCB42EL90/290</t>
  </si>
  <si>
    <t>SWCB08X06RT/290</t>
  </si>
  <si>
    <t>SWCB36T/290</t>
  </si>
  <si>
    <t>SWCB42X36RT/290</t>
  </si>
  <si>
    <t>SWCB42T/290</t>
  </si>
  <si>
    <t>SWCB48X36RT/290</t>
  </si>
  <si>
    <t>SWCB48X42RT/290</t>
  </si>
  <si>
    <t>SWCB60X42RT/290</t>
  </si>
  <si>
    <t>SWCB60X36RT/290</t>
  </si>
  <si>
    <t>SWCB08TX2/290</t>
  </si>
  <si>
    <t>SWCB36TX2/290</t>
  </si>
  <si>
    <t>SWCB42X36RTX2/290</t>
  </si>
  <si>
    <t>SWCB42TX2/290</t>
  </si>
  <si>
    <t>SWCB48X36RTX2/290</t>
  </si>
  <si>
    <t>SWCB48X42RTX2/290</t>
  </si>
  <si>
    <t>SWCB60X36RTX2/290</t>
  </si>
  <si>
    <t>SWCB60X42RTX2/290</t>
  </si>
  <si>
    <t>SK31 SINGLE-TEES</t>
  </si>
  <si>
    <t>SK31 DOUBLE-TEES</t>
  </si>
  <si>
    <t>SWCB08X04RT/031</t>
  </si>
  <si>
    <t>SWCB08X06RT/031</t>
  </si>
  <si>
    <t>SWCB08T/031</t>
  </si>
  <si>
    <t>SWCB10X04RT/031</t>
  </si>
  <si>
    <t>SWCB10x06RT/031</t>
  </si>
  <si>
    <t>SWCB10X08RT/031</t>
  </si>
  <si>
    <t>SWCB10T/031</t>
  </si>
  <si>
    <t>SWCB12X04RT/031</t>
  </si>
  <si>
    <t>SWCB12X06RT/031</t>
  </si>
  <si>
    <t>SWCB12X08RT/031</t>
  </si>
  <si>
    <t>SWCB12X10RT/031</t>
  </si>
  <si>
    <t>SWCB12T/031</t>
  </si>
  <si>
    <t>SWCB15X04RT/031</t>
  </si>
  <si>
    <t>SWCB15X06RT/031</t>
  </si>
  <si>
    <t>SWCB15X08RT/031</t>
  </si>
  <si>
    <t>SWCB15X10RT/031</t>
  </si>
  <si>
    <t>SWCB15X12RT/031</t>
  </si>
  <si>
    <t>SWCB18X04RT/031</t>
  </si>
  <si>
    <t>SWCB18X06RT/031</t>
  </si>
  <si>
    <t>SWCB18X08RT/031</t>
  </si>
  <si>
    <t>SWCB18X10RT/031</t>
  </si>
  <si>
    <t>SWCB18X12RT/031</t>
  </si>
  <si>
    <t>SWCB24X04RT/031</t>
  </si>
  <si>
    <t>SWCB24X06RT/031</t>
  </si>
  <si>
    <t>SWCB24X08RT/031</t>
  </si>
  <si>
    <t>SWCB24X10RT/031</t>
  </si>
  <si>
    <t>SWCB24X12RT/031</t>
  </si>
  <si>
    <t>SWCB06X04RT/031</t>
  </si>
  <si>
    <t>SWCB06T/031</t>
  </si>
  <si>
    <t>SWCB06X04RTX2/031</t>
  </si>
  <si>
    <t>SWCB06TX2/031</t>
  </si>
  <si>
    <t>SWCB08X04RTX2/031</t>
  </si>
  <si>
    <t>SWCB08X06RTX2/031</t>
  </si>
  <si>
    <t>SWCB08TX2/031</t>
  </si>
  <si>
    <t>SWCB10X04RTX2/031</t>
  </si>
  <si>
    <t>SWCB10x06RTX2/031</t>
  </si>
  <si>
    <t>SWCB10X08RTX2/031</t>
  </si>
  <si>
    <t>SWCB10TX2/031</t>
  </si>
  <si>
    <t>SWCB12X04RTX2/031</t>
  </si>
  <si>
    <t>SWCB12X06RTX2/031</t>
  </si>
  <si>
    <t>SWCB12X08RTX2/031</t>
  </si>
  <si>
    <t>SWCB12X10RTX2/031</t>
  </si>
  <si>
    <t>SWCB12TX2/031</t>
  </si>
  <si>
    <t>SWCB15X04RTX2/031</t>
  </si>
  <si>
    <t>SWCB15X06RTX2/031</t>
  </si>
  <si>
    <t>SWCB15X08RTX2/031</t>
  </si>
  <si>
    <t>SWCB15X10RTX2/031</t>
  </si>
  <si>
    <t>SWCB15X12RTX2/031</t>
  </si>
  <si>
    <t>SWCB18X04RTX2/031</t>
  </si>
  <si>
    <t>SWCB18X06RTX2/031</t>
  </si>
  <si>
    <t>SWCB18X08RTX2/031</t>
  </si>
  <si>
    <t>SWCB18X10RTX2/031</t>
  </si>
  <si>
    <t>SWCB18X12RTX2/031</t>
  </si>
  <si>
    <t>SWCB24X04RTX2/031</t>
  </si>
  <si>
    <t>SWCB24X06RTX2/031</t>
  </si>
  <si>
    <t>SWCB24X08RTX2/031</t>
  </si>
  <si>
    <t>SWCB24X10RTX2/031</t>
  </si>
  <si>
    <t>SWCB24X12RTX2/031</t>
  </si>
  <si>
    <t>SWCB08EL90/031</t>
  </si>
  <si>
    <t>SWCB10EL90/031</t>
  </si>
  <si>
    <t>SWCB12EL90/031</t>
  </si>
  <si>
    <t>SWCB06EL90/031</t>
  </si>
  <si>
    <t>SK31 ELBOWS</t>
  </si>
  <si>
    <t>Lane Drawing:</t>
  </si>
  <si>
    <t>Basin ID:</t>
  </si>
  <si>
    <t>2. Total number of chambers:</t>
  </si>
  <si>
    <t>cf</t>
  </si>
  <si>
    <t>3. Total number of end caps:</t>
  </si>
  <si>
    <t>4. Manifold:</t>
  </si>
  <si>
    <t>Size:</t>
  </si>
  <si>
    <t>Minimum sidefill width</t>
  </si>
  <si>
    <t>Fittings:</t>
  </si>
  <si>
    <t>Qty</t>
  </si>
  <si>
    <t>Void</t>
  </si>
  <si>
    <t>Total Straight Pipe:</t>
  </si>
  <si>
    <t>5. Total Infiltration Footprint:</t>
  </si>
  <si>
    <t>sf</t>
  </si>
  <si>
    <t>6. System perimeter:</t>
  </si>
  <si>
    <t>7. Storage depth:</t>
  </si>
  <si>
    <t>8. Grades:</t>
  </si>
  <si>
    <t>Standard bedding depth:</t>
  </si>
  <si>
    <t>Bottom of Stone:</t>
  </si>
  <si>
    <t>Additional bedding depth:</t>
  </si>
  <si>
    <t>Bottom of Chamber:</t>
  </si>
  <si>
    <t>Chamber height:</t>
  </si>
  <si>
    <t>Top of Chamber:</t>
  </si>
  <si>
    <t>Minimum stone cover:</t>
  </si>
  <si>
    <t>Top of Stone:</t>
  </si>
  <si>
    <t>Additional stone cover:</t>
  </si>
  <si>
    <t>Maximum Allowable Grade:</t>
  </si>
  <si>
    <t>Total storage depth:</t>
  </si>
  <si>
    <t>Minimum Allowable Grade:</t>
  </si>
  <si>
    <t>bottom of flexible or top of rigid pavment</t>
  </si>
  <si>
    <t>9. Scour protection:</t>
  </si>
  <si>
    <t>10. Quantities:</t>
  </si>
  <si>
    <t>Sediment Strip Chambers</t>
  </si>
  <si>
    <t>Excavation Volume:</t>
  </si>
  <si>
    <t>cy</t>
  </si>
  <si>
    <t>Sediment Strip End Caps</t>
  </si>
  <si>
    <t>Stone Required:</t>
  </si>
  <si>
    <t>tons</t>
  </si>
  <si>
    <t>(140 pcf)</t>
  </si>
  <si>
    <t>No. of Inlets and Outlets</t>
  </si>
  <si>
    <t>System Footprint:</t>
  </si>
  <si>
    <t>Woven Fabric:</t>
  </si>
  <si>
    <t>System Perimeter:</t>
  </si>
  <si>
    <t>Fabric (woven):</t>
  </si>
  <si>
    <t>(w/15% overage)</t>
  </si>
  <si>
    <t>Fabric (non-woven):</t>
  </si>
  <si>
    <t>Total storage volume:</t>
  </si>
  <si>
    <t>Header</t>
  </si>
  <si>
    <t>Both sides</t>
  </si>
  <si>
    <t>One side only</t>
  </si>
  <si>
    <t>SK31 TRIPLE-TEES</t>
  </si>
  <si>
    <t>SWCB06X04RTX3/031</t>
  </si>
  <si>
    <t>SWCB06TX3/031</t>
  </si>
  <si>
    <t>SWCB08X04RTX3/031</t>
  </si>
  <si>
    <t>SWCB08X06RTX3/031</t>
  </si>
  <si>
    <t>SWCB08TX3/031</t>
  </si>
  <si>
    <t>SWCB10X04RTX3/031</t>
  </si>
  <si>
    <t>SWCB10x06RTX3/031</t>
  </si>
  <si>
    <t>SWCB10X08RTX3/031</t>
  </si>
  <si>
    <t>SWCB10TX3/031</t>
  </si>
  <si>
    <t>SWCB12X04RTX3/031</t>
  </si>
  <si>
    <t>SWCB12X06RTX3/031</t>
  </si>
  <si>
    <t>SWCB12X08RTX3/031</t>
  </si>
  <si>
    <t>SWCB12X10RTX3/031</t>
  </si>
  <si>
    <t>SWCB12TX3/031</t>
  </si>
  <si>
    <t>SWCB15X04RTX3/031</t>
  </si>
  <si>
    <t>SWCB15X06RTX3/031</t>
  </si>
  <si>
    <t>SWCB15X08RTX3/031</t>
  </si>
  <si>
    <t>SWCB15X10RTX3/031</t>
  </si>
  <si>
    <t>SWCB15X12RTX3/031</t>
  </si>
  <si>
    <t>SWCB18X04RTX3/031</t>
  </si>
  <si>
    <t>SWCB18X06RTX3/031</t>
  </si>
  <si>
    <t>SWCB18X08RTX3/031</t>
  </si>
  <si>
    <t>SWCB18X10RTX3/031</t>
  </si>
  <si>
    <t>SWCB18X12RTX3/031</t>
  </si>
  <si>
    <t>SWCB24X04RTX3/031</t>
  </si>
  <si>
    <t>SWCB24X06RTX3/031</t>
  </si>
  <si>
    <t>SWCB24X08RTX3/031</t>
  </si>
  <si>
    <t>SWCB24X10RTX3/031</t>
  </si>
  <si>
    <t>SWCB24X12RTX3/031</t>
  </si>
  <si>
    <t>Per SK290</t>
  </si>
  <si>
    <t>Bedding Depth Used:</t>
  </si>
  <si>
    <t>Lane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</si>
</sst>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Script MT Bold"/>
      <family val="4"/>
    </font>
    <font>
      <sz val="10"/>
      <name val="Script MT Bold"/>
      <family val="4"/>
    </font>
    <font>
      <sz val="9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0"/>
      <name val="CommercialScript BT"/>
      <family val="4"/>
    </font>
    <font>
      <sz val="9"/>
      <name val="Abyssinica SIL"/>
    </font>
    <font>
      <b/>
      <vertAlign val="subscript"/>
      <sz val="10"/>
      <name val="Calibri"/>
      <family val="2"/>
      <scheme val="minor"/>
    </font>
    <font>
      <b/>
      <sz val="9"/>
      <name val="Abyssinica SIL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name val="Abyssinica SIL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name val="Aharoni"/>
      <charset val="177"/>
    </font>
    <font>
      <b/>
      <sz val="14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0"/>
      <name val="Abyssinica SIL"/>
    </font>
    <font>
      <b/>
      <i/>
      <sz val="8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4"/>
      <scheme val="minor"/>
    </font>
    <font>
      <sz val="11"/>
      <name val="Script MT Bold"/>
      <family val="4"/>
    </font>
    <font>
      <vertAlign val="subscript"/>
      <sz val="11"/>
      <name val="Calibri"/>
      <family val="2"/>
      <scheme val="minor"/>
    </font>
    <font>
      <b/>
      <sz val="11"/>
      <name val="Calibri"/>
      <family val="4"/>
      <scheme val="minor"/>
    </font>
    <font>
      <b/>
      <sz val="11"/>
      <name val="Script MT Bold"/>
      <family val="4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4"/>
      <scheme val="minor"/>
    </font>
    <font>
      <sz val="11"/>
      <color theme="1"/>
      <name val="Script MT Bold"/>
      <family val="4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vertAlign val="subscript"/>
      <sz val="11"/>
      <color theme="1"/>
      <name val="Calibri"/>
      <family val="2"/>
    </font>
    <font>
      <sz val="11"/>
      <color theme="1"/>
      <name val="Symbol"/>
      <family val="1"/>
      <charset val="2"/>
    </font>
    <font>
      <i/>
      <sz val="11"/>
      <color rgb="FFFF0000"/>
      <name val="Calibri"/>
      <family val="2"/>
      <scheme val="minor"/>
    </font>
    <font>
      <i/>
      <vertAlign val="subscript"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51" fillId="0" borderId="0" applyNumberFormat="0" applyFill="0" applyBorder="0" applyAlignment="0" applyProtection="0"/>
  </cellStyleXfs>
  <cellXfs count="905">
    <xf numFmtId="0" fontId="0" fillId="0" borderId="0" xfId="0"/>
    <xf numFmtId="0" fontId="4" fillId="3" borderId="0" xfId="1" applyFont="1" applyFill="1" applyBorder="1" applyProtection="1"/>
    <xf numFmtId="0" fontId="4" fillId="2" borderId="0" xfId="1" applyFont="1" applyFill="1" applyProtection="1"/>
    <xf numFmtId="0" fontId="4" fillId="4" borderId="0" xfId="1" applyFont="1" applyFill="1" applyProtection="1"/>
    <xf numFmtId="0" fontId="4" fillId="4" borderId="0" xfId="1" applyFont="1" applyFill="1" applyAlignment="1" applyProtection="1">
      <alignment horizontal="center" vertical="center"/>
    </xf>
    <xf numFmtId="0" fontId="4" fillId="2" borderId="0" xfId="1" applyFont="1" applyFill="1" applyBorder="1" applyAlignment="1" applyProtection="1">
      <alignment horizontal="left" indent="1"/>
    </xf>
    <xf numFmtId="0" fontId="4" fillId="2" borderId="0" xfId="1" applyFont="1" applyFill="1" applyBorder="1" applyProtection="1"/>
    <xf numFmtId="0" fontId="4" fillId="2" borderId="0" xfId="1" applyFont="1" applyFill="1" applyAlignment="1" applyProtection="1">
      <alignment horizontal="left"/>
    </xf>
    <xf numFmtId="2" fontId="5" fillId="4" borderId="0" xfId="1" applyNumberFormat="1" applyFont="1" applyFill="1" applyBorder="1" applyAlignment="1" applyProtection="1">
      <alignment horizontal="center"/>
    </xf>
    <xf numFmtId="0" fontId="6" fillId="4" borderId="0" xfId="1" quotePrefix="1" applyFont="1" applyFill="1" applyAlignment="1" applyProtection="1">
      <alignment horizontal="left"/>
    </xf>
    <xf numFmtId="0" fontId="6" fillId="4" borderId="0" xfId="1" applyFont="1" applyFill="1" applyAlignment="1" applyProtection="1">
      <alignment horizontal="left"/>
    </xf>
    <xf numFmtId="0" fontId="5" fillId="4" borderId="0" xfId="1" applyFont="1" applyFill="1" applyBorder="1" applyAlignment="1" applyProtection="1"/>
    <xf numFmtId="1" fontId="4" fillId="2" borderId="0" xfId="1" applyNumberFormat="1" applyFont="1" applyFill="1" applyBorder="1" applyAlignment="1" applyProtection="1">
      <alignment horizontal="left" indent="1"/>
    </xf>
    <xf numFmtId="2" fontId="4" fillId="4" borderId="0" xfId="1" applyNumberFormat="1" applyFont="1" applyFill="1" applyAlignment="1" applyProtection="1">
      <alignment vertical="top"/>
    </xf>
    <xf numFmtId="2" fontId="4" fillId="4" borderId="0" xfId="1" applyNumberFormat="1" applyFont="1" applyFill="1" applyAlignment="1" applyProtection="1">
      <alignment horizontal="right" vertical="top"/>
    </xf>
    <xf numFmtId="3" fontId="4" fillId="2" borderId="0" xfId="1" applyNumberFormat="1" applyFont="1" applyFill="1" applyBorder="1" applyAlignment="1" applyProtection="1">
      <alignment horizontal="left" indent="1"/>
    </xf>
    <xf numFmtId="3" fontId="5" fillId="2" borderId="0" xfId="1" applyNumberFormat="1" applyFont="1" applyFill="1" applyBorder="1" applyAlignment="1" applyProtection="1">
      <alignment horizontal="left" indent="1"/>
    </xf>
    <xf numFmtId="0" fontId="7" fillId="4" borderId="0" xfId="1" applyFont="1" applyFill="1" applyBorder="1" applyAlignment="1" applyProtection="1">
      <alignment horizontal="left"/>
    </xf>
    <xf numFmtId="0" fontId="7" fillId="4" borderId="0" xfId="1" applyFont="1" applyFill="1" applyBorder="1" applyAlignment="1" applyProtection="1"/>
    <xf numFmtId="0" fontId="5" fillId="4" borderId="0" xfId="1" applyFont="1" applyFill="1" applyBorder="1" applyAlignment="1" applyProtection="1">
      <alignment horizontal="left"/>
    </xf>
    <xf numFmtId="2" fontId="5" fillId="4" borderId="0" xfId="1" applyNumberFormat="1" applyFont="1" applyFill="1" applyBorder="1" applyAlignment="1" applyProtection="1">
      <alignment horizontal="left" indent="1"/>
    </xf>
    <xf numFmtId="0" fontId="8" fillId="4" borderId="0" xfId="1" applyFont="1" applyFill="1" applyAlignment="1" applyProtection="1">
      <alignment horizontal="right" vertical="top"/>
    </xf>
    <xf numFmtId="0" fontId="5" fillId="4" borderId="0" xfId="1" applyFont="1" applyFill="1" applyBorder="1" applyAlignment="1" applyProtection="1">
      <alignment vertical="center"/>
    </xf>
    <xf numFmtId="0" fontId="5" fillId="4" borderId="0" xfId="1" applyFont="1" applyFill="1" applyBorder="1" applyAlignment="1" applyProtection="1">
      <alignment horizontal="center" vertical="center"/>
    </xf>
    <xf numFmtId="0" fontId="5" fillId="4" borderId="0" xfId="1" applyFont="1" applyFill="1" applyBorder="1" applyAlignment="1" applyProtection="1">
      <alignment vertical="center" wrapText="1"/>
    </xf>
    <xf numFmtId="0" fontId="5" fillId="4" borderId="0" xfId="1" applyFont="1" applyFill="1" applyBorder="1" applyAlignment="1" applyProtection="1">
      <alignment horizontal="left" indent="1"/>
    </xf>
    <xf numFmtId="0" fontId="6" fillId="4" borderId="0" xfId="1" applyFont="1" applyFill="1" applyAlignment="1" applyProtection="1">
      <alignment vertical="center"/>
    </xf>
    <xf numFmtId="0" fontId="5" fillId="4" borderId="0" xfId="1" applyFont="1" applyFill="1" applyProtection="1"/>
    <xf numFmtId="0" fontId="4" fillId="4" borderId="0" xfId="1" applyFont="1" applyFill="1" applyBorder="1" applyAlignment="1" applyProtection="1"/>
    <xf numFmtId="0" fontId="4" fillId="4" borderId="0" xfId="1" applyFont="1" applyFill="1" applyAlignment="1" applyProtection="1">
      <alignment horizontal="left" vertical="center"/>
    </xf>
    <xf numFmtId="0" fontId="5" fillId="4" borderId="5" xfId="1" applyFont="1" applyFill="1" applyBorder="1" applyProtection="1"/>
    <xf numFmtId="0" fontId="4" fillId="4" borderId="5" xfId="1" applyFont="1" applyFill="1" applyBorder="1" applyProtection="1"/>
    <xf numFmtId="0" fontId="19" fillId="4" borderId="0" xfId="1" applyFont="1" applyFill="1" applyProtection="1"/>
    <xf numFmtId="0" fontId="5" fillId="4" borderId="5" xfId="1" applyFont="1" applyFill="1" applyBorder="1" applyAlignment="1" applyProtection="1"/>
    <xf numFmtId="0" fontId="8" fillId="4" borderId="0" xfId="1" applyFont="1" applyFill="1" applyProtection="1"/>
    <xf numFmtId="0" fontId="6" fillId="4" borderId="0" xfId="1" applyFont="1" applyFill="1" applyBorder="1" applyAlignment="1" applyProtection="1">
      <alignment vertical="center"/>
    </xf>
    <xf numFmtId="0" fontId="11" fillId="4" borderId="0" xfId="1" applyFont="1" applyFill="1" applyBorder="1" applyAlignment="1" applyProtection="1">
      <alignment vertical="center"/>
    </xf>
    <xf numFmtId="0" fontId="11" fillId="4" borderId="0" xfId="1" applyFont="1" applyFill="1" applyAlignment="1" applyProtection="1">
      <alignment horizontal="left" vertical="center"/>
    </xf>
    <xf numFmtId="0" fontId="9" fillId="3" borderId="0" xfId="1" applyFont="1" applyFill="1" applyBorder="1" applyAlignment="1" applyProtection="1">
      <alignment horizontal="right"/>
      <protection locked="0"/>
    </xf>
    <xf numFmtId="0" fontId="6" fillId="4" borderId="0" xfId="1" applyFont="1" applyFill="1" applyAlignment="1" applyProtection="1"/>
    <xf numFmtId="0" fontId="6" fillId="2" borderId="0" xfId="1" applyFont="1" applyFill="1" applyProtection="1"/>
    <xf numFmtId="0" fontId="5" fillId="4" borderId="0" xfId="1" applyFont="1" applyFill="1" applyBorder="1" applyAlignment="1" applyProtection="1">
      <alignment horizontal="right"/>
    </xf>
    <xf numFmtId="1" fontId="6" fillId="4" borderId="0" xfId="1" applyNumberFormat="1" applyFont="1" applyFill="1" applyAlignment="1" applyProtection="1">
      <alignment horizontal="right"/>
    </xf>
    <xf numFmtId="0" fontId="6" fillId="4" borderId="0" xfId="1" applyFont="1" applyFill="1" applyAlignment="1" applyProtection="1">
      <alignment horizontal="right"/>
    </xf>
    <xf numFmtId="0" fontId="4" fillId="4" borderId="0" xfId="1" applyFont="1" applyFill="1" applyAlignment="1" applyProtection="1">
      <alignment horizontal="left"/>
    </xf>
    <xf numFmtId="0" fontId="4" fillId="4" borderId="0" xfId="1" applyFont="1" applyFill="1" applyAlignment="1" applyProtection="1">
      <alignment horizontal="center"/>
    </xf>
    <xf numFmtId="0" fontId="4" fillId="4" borderId="0" xfId="1" applyFont="1" applyFill="1" applyAlignment="1" applyProtection="1">
      <alignment horizontal="right"/>
    </xf>
    <xf numFmtId="0" fontId="6" fillId="4" borderId="0" xfId="1" applyFont="1" applyFill="1" applyAlignment="1" applyProtection="1">
      <alignment horizontal="left" vertical="top"/>
    </xf>
    <xf numFmtId="0" fontId="4" fillId="4" borderId="12" xfId="1" applyFont="1" applyFill="1" applyBorder="1" applyProtection="1"/>
    <xf numFmtId="0" fontId="4" fillId="4" borderId="13" xfId="1" applyFont="1" applyFill="1" applyBorder="1" applyProtection="1"/>
    <xf numFmtId="0" fontId="4" fillId="4" borderId="14" xfId="1" applyFont="1" applyFill="1" applyBorder="1" applyProtection="1"/>
    <xf numFmtId="0" fontId="4" fillId="4" borderId="10" xfId="1" applyFont="1" applyFill="1" applyBorder="1" applyProtection="1"/>
    <xf numFmtId="0" fontId="4" fillId="4" borderId="15" xfId="1" applyFont="1" applyFill="1" applyBorder="1" applyProtection="1"/>
    <xf numFmtId="0" fontId="4" fillId="4" borderId="11" xfId="1" applyFont="1" applyFill="1" applyBorder="1" applyProtection="1"/>
    <xf numFmtId="0" fontId="3" fillId="4" borderId="0" xfId="1" applyFont="1" applyFill="1" applyAlignment="1" applyProtection="1">
      <alignment wrapText="1"/>
    </xf>
    <xf numFmtId="0" fontId="10" fillId="4" borderId="0" xfId="1" applyFont="1" applyFill="1" applyAlignment="1" applyProtection="1">
      <alignment wrapText="1"/>
    </xf>
    <xf numFmtId="0" fontId="4" fillId="4" borderId="0" xfId="1" applyFont="1" applyFill="1" applyAlignment="1" applyProtection="1">
      <alignment wrapText="1"/>
    </xf>
    <xf numFmtId="0" fontId="4" fillId="4" borderId="0" xfId="1" applyFont="1" applyFill="1" applyAlignment="1" applyProtection="1">
      <alignment vertical="center"/>
    </xf>
    <xf numFmtId="0" fontId="5" fillId="4" borderId="0" xfId="1" applyFont="1" applyFill="1" applyAlignment="1" applyProtection="1">
      <alignment vertical="center"/>
    </xf>
    <xf numFmtId="0" fontId="29" fillId="4" borderId="0" xfId="1" applyFont="1" applyFill="1" applyAlignment="1" applyProtection="1">
      <alignment horizontal="left" vertical="center"/>
    </xf>
    <xf numFmtId="0" fontId="4" fillId="2" borderId="0" xfId="1" applyFont="1" applyFill="1" applyBorder="1" applyAlignment="1" applyProtection="1">
      <alignment vertical="top"/>
    </xf>
    <xf numFmtId="0" fontId="4" fillId="5" borderId="0" xfId="1" applyFont="1" applyFill="1" applyBorder="1" applyAlignment="1" applyProtection="1">
      <alignment horizontal="center"/>
    </xf>
    <xf numFmtId="0" fontId="4" fillId="5" borderId="0" xfId="1" applyFont="1" applyFill="1" applyBorder="1" applyProtection="1"/>
    <xf numFmtId="0" fontId="6" fillId="5" borderId="0" xfId="1" applyFont="1" applyFill="1" applyBorder="1" applyProtection="1"/>
    <xf numFmtId="164" fontId="6" fillId="5" borderId="0" xfId="1" applyNumberFormat="1" applyFont="1" applyFill="1" applyBorder="1" applyAlignment="1" applyProtection="1">
      <alignment vertical="center"/>
    </xf>
    <xf numFmtId="0" fontId="6" fillId="5" borderId="0" xfId="1" applyFont="1" applyFill="1" applyBorder="1" applyAlignment="1" applyProtection="1">
      <alignment vertical="center"/>
    </xf>
    <xf numFmtId="0" fontId="6" fillId="5" borderId="0" xfId="1" applyFont="1" applyFill="1" applyBorder="1" applyAlignment="1" applyProtection="1"/>
    <xf numFmtId="0" fontId="5" fillId="5" borderId="0" xfId="1" applyFont="1" applyFill="1" applyBorder="1" applyProtection="1"/>
    <xf numFmtId="0" fontId="6" fillId="5" borderId="0" xfId="1" applyFont="1" applyFill="1" applyBorder="1" applyAlignment="1" applyProtection="1">
      <alignment vertical="top"/>
    </xf>
    <xf numFmtId="0" fontId="6" fillId="5" borderId="0" xfId="1" applyFont="1" applyFill="1" applyBorder="1" applyAlignment="1" applyProtection="1">
      <alignment horizontal="left"/>
    </xf>
    <xf numFmtId="0" fontId="4" fillId="5" borderId="16" xfId="1" applyFont="1" applyFill="1" applyBorder="1" applyAlignment="1" applyProtection="1">
      <alignment horizontal="center"/>
    </xf>
    <xf numFmtId="0" fontId="4" fillId="5" borderId="17" xfId="1" applyFont="1" applyFill="1" applyBorder="1" applyAlignment="1" applyProtection="1">
      <alignment horizontal="center"/>
    </xf>
    <xf numFmtId="0" fontId="4" fillId="5" borderId="17" xfId="1" applyFont="1" applyFill="1" applyBorder="1" applyProtection="1"/>
    <xf numFmtId="0" fontId="4" fillId="5" borderId="18" xfId="1" applyFont="1" applyFill="1" applyBorder="1" applyProtection="1"/>
    <xf numFmtId="0" fontId="4" fillId="5" borderId="19" xfId="1" applyFont="1" applyFill="1" applyBorder="1" applyAlignment="1" applyProtection="1">
      <alignment horizontal="center"/>
    </xf>
    <xf numFmtId="0" fontId="4" fillId="5" borderId="20" xfId="1" applyFont="1" applyFill="1" applyBorder="1" applyProtection="1"/>
    <xf numFmtId="0" fontId="4" fillId="5" borderId="21" xfId="1" applyFont="1" applyFill="1" applyBorder="1" applyAlignment="1" applyProtection="1">
      <alignment horizontal="center"/>
    </xf>
    <xf numFmtId="0" fontId="4" fillId="5" borderId="22" xfId="1" applyFont="1" applyFill="1" applyBorder="1" applyAlignment="1" applyProtection="1">
      <alignment horizontal="center"/>
    </xf>
    <xf numFmtId="0" fontId="4" fillId="5" borderId="22" xfId="1" applyFont="1" applyFill="1" applyBorder="1" applyProtection="1"/>
    <xf numFmtId="0" fontId="6" fillId="5" borderId="22" xfId="1" applyFont="1" applyFill="1" applyBorder="1" applyAlignment="1" applyProtection="1">
      <alignment vertical="center"/>
    </xf>
    <xf numFmtId="0" fontId="5" fillId="5" borderId="22" xfId="1" applyFont="1" applyFill="1" applyBorder="1" applyAlignment="1" applyProtection="1">
      <alignment vertical="center"/>
    </xf>
    <xf numFmtId="0" fontId="4" fillId="5" borderId="23" xfId="1" applyFont="1" applyFill="1" applyBorder="1" applyProtection="1"/>
    <xf numFmtId="0" fontId="1" fillId="0" borderId="0" xfId="0" applyFont="1"/>
    <xf numFmtId="0" fontId="11" fillId="0" borderId="1" xfId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27" fillId="0" borderId="0" xfId="1" applyFont="1" applyFill="1"/>
    <xf numFmtId="0" fontId="27" fillId="0" borderId="0" xfId="1" applyFont="1" applyFill="1" applyAlignment="1">
      <alignment horizontal="center"/>
    </xf>
    <xf numFmtId="164" fontId="27" fillId="0" borderId="0" xfId="1" applyNumberFormat="1" applyFont="1" applyFill="1" applyAlignment="1">
      <alignment horizontal="center"/>
    </xf>
    <xf numFmtId="2" fontId="27" fillId="0" borderId="0" xfId="1" applyNumberFormat="1" applyFont="1" applyFill="1" applyAlignment="1">
      <alignment horizontal="center"/>
    </xf>
    <xf numFmtId="0" fontId="4" fillId="4" borderId="0" xfId="1" applyFont="1" applyFill="1" applyAlignment="1" applyProtection="1">
      <alignment horizontal="center"/>
    </xf>
    <xf numFmtId="0" fontId="5" fillId="4" borderId="0" xfId="1" applyFont="1" applyFill="1" applyBorder="1" applyAlignment="1" applyProtection="1">
      <alignment horizontal="right"/>
    </xf>
    <xf numFmtId="0" fontId="2" fillId="4" borderId="0" xfId="1" applyFill="1"/>
    <xf numFmtId="0" fontId="0" fillId="3" borderId="0" xfId="0" applyFill="1"/>
    <xf numFmtId="0" fontId="4" fillId="4" borderId="0" xfId="1" applyFont="1" applyFill="1" applyBorder="1" applyAlignment="1" applyProtection="1">
      <alignment horizontal="left" indent="1"/>
    </xf>
    <xf numFmtId="0" fontId="0" fillId="4" borderId="0" xfId="0" applyFill="1"/>
    <xf numFmtId="1" fontId="6" fillId="4" borderId="0" xfId="1" applyNumberFormat="1" applyFont="1" applyFill="1" applyAlignment="1" applyProtection="1">
      <alignment vertical="center"/>
    </xf>
    <xf numFmtId="0" fontId="4" fillId="4" borderId="0" xfId="1" applyFont="1" applyFill="1" applyBorder="1" applyProtection="1"/>
    <xf numFmtId="3" fontId="6" fillId="3" borderId="0" xfId="1" applyNumberFormat="1" applyFont="1" applyFill="1" applyBorder="1" applyAlignment="1" applyProtection="1">
      <alignment horizontal="center"/>
    </xf>
    <xf numFmtId="0" fontId="9" fillId="3" borderId="0" xfId="1" applyFont="1" applyFill="1" applyBorder="1" applyAlignment="1" applyProtection="1">
      <alignment horizontal="right"/>
    </xf>
    <xf numFmtId="0" fontId="5" fillId="5" borderId="0" xfId="1" applyFont="1" applyFill="1" applyBorder="1" applyAlignment="1" applyProtection="1">
      <alignment vertical="center"/>
    </xf>
    <xf numFmtId="0" fontId="5" fillId="5" borderId="0" xfId="1" applyFont="1" applyFill="1" applyBorder="1" applyAlignment="1" applyProtection="1"/>
    <xf numFmtId="164" fontId="6" fillId="5" borderId="0" xfId="1" applyNumberFormat="1" applyFont="1" applyFill="1" applyBorder="1" applyAlignment="1" applyProtection="1"/>
    <xf numFmtId="0" fontId="27" fillId="4" borderId="0" xfId="1" applyFont="1" applyFill="1" applyAlignment="1" applyProtection="1">
      <alignment vertical="top" wrapText="1"/>
    </xf>
    <xf numFmtId="0" fontId="12" fillId="4" borderId="0" xfId="1" applyFont="1" applyFill="1" applyAlignment="1">
      <alignment vertical="top"/>
    </xf>
    <xf numFmtId="0" fontId="12" fillId="4" borderId="0" xfId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right"/>
    </xf>
    <xf numFmtId="2" fontId="6" fillId="4" borderId="0" xfId="1" applyNumberFormat="1" applyFont="1" applyFill="1" applyBorder="1" applyAlignment="1" applyProtection="1"/>
    <xf numFmtId="0" fontId="4" fillId="4" borderId="0" xfId="1" applyFont="1" applyFill="1" applyBorder="1" applyAlignment="1" applyProtection="1">
      <alignment horizontal="center"/>
    </xf>
    <xf numFmtId="0" fontId="4" fillId="4" borderId="20" xfId="1" applyFont="1" applyFill="1" applyBorder="1" applyProtection="1"/>
    <xf numFmtId="0" fontId="4" fillId="4" borderId="20" xfId="1" applyFont="1" applyFill="1" applyBorder="1" applyAlignment="1" applyProtection="1">
      <alignment horizontal="center"/>
    </xf>
    <xf numFmtId="0" fontId="2" fillId="3" borderId="0" xfId="1" applyFill="1" applyBorder="1"/>
    <xf numFmtId="0" fontId="0" fillId="3" borderId="0" xfId="0" applyFill="1" applyBorder="1"/>
    <xf numFmtId="0" fontId="4" fillId="4" borderId="0" xfId="1" applyFont="1" applyFill="1" applyAlignment="1" applyProtection="1">
      <alignment horizontal="right"/>
    </xf>
    <xf numFmtId="0" fontId="0" fillId="4" borderId="5" xfId="0" applyFill="1" applyBorder="1"/>
    <xf numFmtId="0" fontId="0" fillId="4" borderId="0" xfId="0" applyFill="1" applyBorder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9" fillId="0" borderId="0" xfId="1" applyFont="1" applyFill="1"/>
    <xf numFmtId="0" fontId="9" fillId="0" borderId="0" xfId="1" applyFont="1" applyFill="1" applyAlignment="1">
      <alignment horizontal="center"/>
    </xf>
    <xf numFmtId="3" fontId="5" fillId="4" borderId="0" xfId="1" applyNumberFormat="1" applyFont="1" applyFill="1" applyAlignment="1" applyProtection="1"/>
    <xf numFmtId="0" fontId="32" fillId="0" borderId="32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2" fontId="6" fillId="4" borderId="20" xfId="1" applyNumberFormat="1" applyFont="1" applyFill="1" applyBorder="1" applyAlignment="1" applyProtection="1"/>
    <xf numFmtId="0" fontId="27" fillId="4" borderId="0" xfId="1" applyFont="1" applyFill="1" applyAlignment="1" applyProtection="1">
      <alignment horizontal="left" vertical="center" wrapText="1" indent="1"/>
    </xf>
    <xf numFmtId="3" fontId="6" fillId="4" borderId="0" xfId="1" applyNumberFormat="1" applyFont="1" applyFill="1" applyBorder="1" applyAlignment="1" applyProtection="1">
      <alignment horizontal="center"/>
    </xf>
    <xf numFmtId="0" fontId="2" fillId="4" borderId="0" xfId="1" applyFill="1" applyBorder="1"/>
    <xf numFmtId="0" fontId="9" fillId="4" borderId="0" xfId="1" applyFont="1" applyFill="1" applyBorder="1" applyAlignment="1" applyProtection="1">
      <alignment horizontal="right"/>
    </xf>
    <xf numFmtId="4" fontId="11" fillId="4" borderId="0" xfId="1" applyNumberFormat="1" applyFont="1" applyFill="1" applyAlignment="1" applyProtection="1">
      <alignment horizontal="left" indent="1"/>
    </xf>
    <xf numFmtId="0" fontId="36" fillId="4" borderId="0" xfId="0" applyFont="1" applyFill="1"/>
    <xf numFmtId="0" fontId="0" fillId="6" borderId="0" xfId="0" applyFill="1"/>
    <xf numFmtId="0" fontId="36" fillId="6" borderId="0" xfId="0" applyFont="1" applyFill="1"/>
    <xf numFmtId="0" fontId="0" fillId="6" borderId="6" xfId="0" applyFill="1" applyBorder="1"/>
    <xf numFmtId="0" fontId="6" fillId="5" borderId="0" xfId="1" applyFont="1" applyFill="1" applyBorder="1" applyAlignment="1" applyProtection="1">
      <alignment wrapText="1"/>
    </xf>
    <xf numFmtId="0" fontId="0" fillId="6" borderId="0" xfId="0" applyFill="1" applyAlignment="1"/>
    <xf numFmtId="0" fontId="0" fillId="6" borderId="0" xfId="0" applyFill="1" applyBorder="1"/>
    <xf numFmtId="0" fontId="0" fillId="6" borderId="5" xfId="0" applyFill="1" applyBorder="1"/>
    <xf numFmtId="2" fontId="0" fillId="6" borderId="0" xfId="0" applyNumberFormat="1" applyFill="1" applyBorder="1"/>
    <xf numFmtId="2" fontId="0" fillId="6" borderId="5" xfId="0" applyNumberFormat="1" applyFill="1" applyBorder="1"/>
    <xf numFmtId="0" fontId="4" fillId="4" borderId="0" xfId="1" applyFont="1" applyFill="1" applyBorder="1" applyAlignment="1" applyProtection="1">
      <alignment horizontal="left" vertical="center"/>
    </xf>
    <xf numFmtId="0" fontId="4" fillId="4" borderId="0" xfId="1" applyFont="1" applyFill="1" applyBorder="1" applyAlignment="1" applyProtection="1">
      <alignment horizontal="left" vertical="center" indent="1"/>
    </xf>
    <xf numFmtId="0" fontId="36" fillId="4" borderId="0" xfId="0" applyFont="1" applyFill="1" applyAlignment="1">
      <alignment vertical="top"/>
    </xf>
    <xf numFmtId="0" fontId="36" fillId="4" borderId="5" xfId="0" applyFont="1" applyFill="1" applyBorder="1"/>
    <xf numFmtId="0" fontId="4" fillId="4" borderId="0" xfId="1" applyFont="1" applyFill="1" applyAlignment="1" applyProtection="1">
      <alignment horizontal="right"/>
    </xf>
    <xf numFmtId="0" fontId="5" fillId="4" borderId="0" xfId="1" applyFont="1" applyFill="1" applyBorder="1" applyAlignment="1" applyProtection="1">
      <alignment horizontal="right"/>
    </xf>
    <xf numFmtId="0" fontId="36" fillId="6" borderId="6" xfId="0" applyFont="1" applyFill="1" applyBorder="1" applyAlignment="1"/>
    <xf numFmtId="0" fontId="4" fillId="5" borderId="0" xfId="1" applyFont="1" applyFill="1" applyBorder="1" applyAlignment="1" applyProtection="1"/>
    <xf numFmtId="0" fontId="4" fillId="4" borderId="0" xfId="1" applyFont="1" applyFill="1" applyBorder="1" applyAlignment="1" applyProtection="1">
      <alignment vertical="center"/>
    </xf>
    <xf numFmtId="0" fontId="4" fillId="4" borderId="0" xfId="1" applyFont="1" applyFill="1" applyBorder="1" applyAlignment="1" applyProtection="1">
      <alignment horizontal="center" vertical="center"/>
    </xf>
    <xf numFmtId="0" fontId="4" fillId="4" borderId="6" xfId="1" applyFont="1" applyFill="1" applyBorder="1" applyAlignment="1" applyProtection="1">
      <alignment vertical="center"/>
    </xf>
    <xf numFmtId="0" fontId="5" fillId="4" borderId="5" xfId="1" applyFont="1" applyFill="1" applyBorder="1" applyAlignment="1" applyProtection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5" fillId="4" borderId="0" xfId="1" applyFont="1" applyFill="1" applyBorder="1" applyAlignment="1" applyProtection="1">
      <alignment horizontal="left" vertical="center"/>
    </xf>
    <xf numFmtId="0" fontId="5" fillId="4" borderId="0" xfId="1" applyFont="1" applyFill="1" applyAlignment="1" applyProtection="1">
      <alignment horizontal="left"/>
    </xf>
    <xf numFmtId="0" fontId="4" fillId="4" borderId="5" xfId="1" applyFont="1" applyFill="1" applyBorder="1" applyAlignment="1" applyProtection="1">
      <alignment horizontal="left" indent="1"/>
    </xf>
    <xf numFmtId="0" fontId="4" fillId="4" borderId="0" xfId="1" applyFont="1" applyFill="1" applyAlignment="1" applyProtection="1">
      <alignment vertical="center"/>
    </xf>
    <xf numFmtId="0" fontId="36" fillId="4" borderId="0" xfId="0" applyFont="1" applyFill="1" applyAlignment="1">
      <alignment vertical="center"/>
    </xf>
    <xf numFmtId="0" fontId="4" fillId="4" borderId="0" xfId="1" applyFont="1" applyFill="1" applyAlignment="1" applyProtection="1">
      <alignment vertical="top"/>
    </xf>
    <xf numFmtId="0" fontId="0" fillId="4" borderId="0" xfId="0" applyFill="1" applyAlignment="1">
      <alignment vertical="top"/>
    </xf>
    <xf numFmtId="0" fontId="4" fillId="4" borderId="0" xfId="1" applyFont="1" applyFill="1" applyAlignment="1" applyProtection="1">
      <alignment vertical="center" wrapText="1"/>
    </xf>
    <xf numFmtId="0" fontId="13" fillId="4" borderId="0" xfId="1" applyFont="1" applyFill="1" applyAlignment="1" applyProtection="1">
      <alignment horizontal="right" wrapText="1"/>
    </xf>
    <xf numFmtId="0" fontId="4" fillId="4" borderId="5" xfId="1" applyFont="1" applyFill="1" applyBorder="1" applyAlignment="1" applyProtection="1"/>
    <xf numFmtId="0" fontId="0" fillId="4" borderId="5" xfId="0" applyFill="1" applyBorder="1" applyAlignment="1"/>
    <xf numFmtId="0" fontId="5" fillId="4" borderId="5" xfId="1" applyFont="1" applyFill="1" applyBorder="1" applyAlignment="1" applyProtection="1">
      <alignment horizontal="left"/>
    </xf>
    <xf numFmtId="0" fontId="0" fillId="4" borderId="0" xfId="0" applyFill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0" xfId="0" applyFill="1" applyAlignment="1"/>
    <xf numFmtId="0" fontId="0" fillId="4" borderId="0" xfId="0" applyFill="1" applyBorder="1" applyAlignment="1">
      <alignment vertical="center"/>
    </xf>
    <xf numFmtId="0" fontId="5" fillId="4" borderId="12" xfId="1" applyFont="1" applyFill="1" applyBorder="1" applyAlignment="1" applyProtection="1">
      <alignment vertical="center"/>
    </xf>
    <xf numFmtId="0" fontId="5" fillId="4" borderId="13" xfId="1" applyFont="1" applyFill="1" applyBorder="1" applyAlignment="1" applyProtection="1">
      <alignment horizontal="left" vertical="center"/>
    </xf>
    <xf numFmtId="0" fontId="5" fillId="4" borderId="14" xfId="1" applyFont="1" applyFill="1" applyBorder="1" applyAlignment="1" applyProtection="1">
      <alignment vertical="center"/>
    </xf>
    <xf numFmtId="0" fontId="5" fillId="4" borderId="10" xfId="1" applyFont="1" applyFill="1" applyBorder="1" applyAlignment="1" applyProtection="1">
      <alignment horizontal="left" vertical="center"/>
    </xf>
    <xf numFmtId="0" fontId="27" fillId="3" borderId="0" xfId="1" applyFont="1" applyFill="1" applyAlignment="1" applyProtection="1">
      <alignment vertical="center" wrapText="1"/>
    </xf>
    <xf numFmtId="0" fontId="38" fillId="3" borderId="0" xfId="0" applyFont="1" applyFill="1"/>
    <xf numFmtId="0" fontId="5" fillId="3" borderId="0" xfId="1" applyFont="1" applyFill="1" applyBorder="1"/>
    <xf numFmtId="0" fontId="39" fillId="3" borderId="0" xfId="0" applyFont="1" applyFill="1" applyBorder="1" applyAlignment="1"/>
    <xf numFmtId="0" fontId="38" fillId="3" borderId="0" xfId="0" applyFont="1" applyFill="1" applyBorder="1"/>
    <xf numFmtId="0" fontId="5" fillId="3" borderId="0" xfId="1" applyFont="1" applyFill="1" applyBorder="1" applyAlignment="1" applyProtection="1">
      <alignment horizontal="left" indent="1"/>
    </xf>
    <xf numFmtId="0" fontId="4" fillId="4" borderId="0" xfId="1" applyFont="1" applyFill="1" applyAlignment="1" applyProtection="1">
      <alignment vertical="top" wrapText="1"/>
    </xf>
    <xf numFmtId="0" fontId="4" fillId="3" borderId="0" xfId="1" applyFont="1" applyFill="1" applyBorder="1" applyAlignment="1" applyProtection="1">
      <alignment wrapText="1"/>
    </xf>
    <xf numFmtId="0" fontId="4" fillId="5" borderId="6" xfId="1" applyFont="1" applyFill="1" applyBorder="1" applyProtection="1"/>
    <xf numFmtId="2" fontId="0" fillId="6" borderId="6" xfId="0" applyNumberFormat="1" applyFill="1" applyBorder="1"/>
    <xf numFmtId="0" fontId="38" fillId="6" borderId="6" xfId="0" applyFont="1" applyFill="1" applyBorder="1"/>
    <xf numFmtId="0" fontId="5" fillId="5" borderId="0" xfId="1" applyFont="1" applyFill="1" applyBorder="1" applyAlignment="1" applyProtection="1">
      <alignment horizontal="left"/>
    </xf>
    <xf numFmtId="0" fontId="38" fillId="6" borderId="0" xfId="0" applyFont="1" applyFill="1" applyBorder="1"/>
    <xf numFmtId="0" fontId="38" fillId="6" borderId="5" xfId="0" applyFont="1" applyFill="1" applyBorder="1"/>
    <xf numFmtId="0" fontId="5" fillId="5" borderId="0" xfId="1" applyFont="1" applyFill="1" applyBorder="1" applyAlignment="1" applyProtection="1">
      <alignment vertical="top"/>
    </xf>
    <xf numFmtId="0" fontId="27" fillId="3" borderId="0" xfId="1" applyFont="1" applyFill="1" applyBorder="1" applyAlignment="1" applyProtection="1">
      <alignment vertical="center" wrapText="1"/>
    </xf>
    <xf numFmtId="2" fontId="38" fillId="3" borderId="0" xfId="0" applyNumberFormat="1" applyFont="1" applyFill="1" applyBorder="1" applyAlignment="1">
      <alignment horizontal="left" indent="1"/>
    </xf>
    <xf numFmtId="0" fontId="0" fillId="3" borderId="0" xfId="0" applyFill="1" applyBorder="1" applyAlignment="1">
      <alignment horizontal="left" indent="1"/>
    </xf>
    <xf numFmtId="0" fontId="4" fillId="6" borderId="17" xfId="1" applyFont="1" applyFill="1" applyBorder="1" applyProtection="1"/>
    <xf numFmtId="0" fontId="4" fillId="6" borderId="18" xfId="1" applyFont="1" applyFill="1" applyBorder="1" applyProtection="1"/>
    <xf numFmtId="0" fontId="4" fillId="6" borderId="0" xfId="1" applyFont="1" applyFill="1" applyBorder="1" applyProtection="1"/>
    <xf numFmtId="0" fontId="4" fillId="6" borderId="20" xfId="1" applyFont="1" applyFill="1" applyBorder="1" applyProtection="1"/>
    <xf numFmtId="0" fontId="0" fillId="6" borderId="20" xfId="0" applyFill="1" applyBorder="1"/>
    <xf numFmtId="2" fontId="6" fillId="6" borderId="20" xfId="1" applyNumberFormat="1" applyFont="1" applyFill="1" applyBorder="1" applyAlignment="1" applyProtection="1"/>
    <xf numFmtId="0" fontId="4" fillId="6" borderId="22" xfId="1" applyFont="1" applyFill="1" applyBorder="1" applyProtection="1"/>
    <xf numFmtId="0" fontId="4" fillId="6" borderId="23" xfId="1" applyFont="1" applyFill="1" applyBorder="1" applyProtection="1"/>
    <xf numFmtId="0" fontId="11" fillId="2" borderId="0" xfId="1" applyFont="1" applyFill="1" applyProtection="1"/>
    <xf numFmtId="0" fontId="11" fillId="4" borderId="0" xfId="1" applyFont="1" applyFill="1" applyAlignment="1" applyProtection="1">
      <alignment horizontal="left"/>
    </xf>
    <xf numFmtId="0" fontId="11" fillId="4" borderId="0" xfId="1" applyFont="1" applyFill="1" applyAlignment="1" applyProtection="1">
      <alignment horizontal="left" vertical="top"/>
    </xf>
    <xf numFmtId="2" fontId="11" fillId="4" borderId="20" xfId="1" applyNumberFormat="1" applyFont="1" applyFill="1" applyBorder="1" applyAlignment="1" applyProtection="1"/>
    <xf numFmtId="0" fontId="11" fillId="4" borderId="0" xfId="1" applyFont="1" applyFill="1" applyAlignment="1" applyProtection="1"/>
    <xf numFmtId="0" fontId="31" fillId="3" borderId="0" xfId="0" applyFont="1" applyFill="1" applyBorder="1" applyProtection="1">
      <protection locked="0"/>
    </xf>
    <xf numFmtId="0" fontId="4" fillId="4" borderId="0" xfId="1" applyFont="1" applyFill="1" applyAlignment="1" applyProtection="1">
      <alignment vertical="center"/>
    </xf>
    <xf numFmtId="0" fontId="4" fillId="4" borderId="0" xfId="1" applyFont="1" applyFill="1" applyAlignment="1" applyProtection="1">
      <alignment vertical="top"/>
    </xf>
    <xf numFmtId="0" fontId="4" fillId="4" borderId="0" xfId="1" applyFont="1" applyFill="1" applyAlignment="1" applyProtection="1">
      <alignment horizontal="right"/>
    </xf>
    <xf numFmtId="0" fontId="5" fillId="4" borderId="0" xfId="1" applyFont="1" applyFill="1" applyBorder="1" applyAlignment="1" applyProtection="1">
      <alignment horizontal="right"/>
    </xf>
    <xf numFmtId="0" fontId="36" fillId="4" borderId="0" xfId="0" applyFont="1" applyFill="1" applyAlignment="1">
      <alignment vertical="center"/>
    </xf>
    <xf numFmtId="0" fontId="4" fillId="4" borderId="6" xfId="1" applyFont="1" applyFill="1" applyBorder="1" applyAlignment="1" applyProtection="1">
      <alignment vertical="center"/>
    </xf>
    <xf numFmtId="0" fontId="4" fillId="4" borderId="0" xfId="1" applyFont="1" applyFill="1" applyAlignment="1" applyProtection="1">
      <alignment horizontal="center" vertical="center"/>
    </xf>
    <xf numFmtId="0" fontId="27" fillId="0" borderId="0" xfId="1" applyFont="1" applyFill="1" applyAlignment="1">
      <alignment horizontal="left"/>
    </xf>
    <xf numFmtId="0" fontId="36" fillId="4" borderId="0" xfId="0" applyFont="1" applyFill="1" applyAlignment="1">
      <alignment vertical="center"/>
    </xf>
    <xf numFmtId="0" fontId="4" fillId="4" borderId="0" xfId="1" applyFont="1" applyFill="1" applyAlignment="1" applyProtection="1">
      <alignment vertical="center"/>
    </xf>
    <xf numFmtId="0" fontId="4" fillId="4" borderId="6" xfId="1" applyFont="1" applyFill="1" applyBorder="1" applyAlignment="1" applyProtection="1">
      <alignment vertical="center"/>
    </xf>
    <xf numFmtId="0" fontId="4" fillId="4" borderId="0" xfId="1" applyFont="1" applyFill="1" applyAlignment="1" applyProtection="1">
      <alignment vertical="top"/>
    </xf>
    <xf numFmtId="0" fontId="4" fillId="4" borderId="0" xfId="1" applyFont="1" applyFill="1" applyAlignment="1" applyProtection="1">
      <alignment horizontal="right"/>
    </xf>
    <xf numFmtId="0" fontId="5" fillId="4" borderId="0" xfId="1" applyFont="1" applyFill="1" applyBorder="1" applyAlignment="1" applyProtection="1">
      <alignment horizontal="right"/>
    </xf>
    <xf numFmtId="0" fontId="4" fillId="4" borderId="0" xfId="1" applyFont="1" applyFill="1" applyAlignment="1" applyProtection="1">
      <alignment horizontal="center" vertical="center"/>
    </xf>
    <xf numFmtId="0" fontId="41" fillId="4" borderId="0" xfId="0" applyFont="1" applyFill="1" applyBorder="1" applyAlignment="1">
      <alignment wrapText="1"/>
    </xf>
    <xf numFmtId="0" fontId="42" fillId="4" borderId="0" xfId="0" applyFont="1" applyFill="1" applyBorder="1" applyAlignment="1">
      <alignment wrapText="1"/>
    </xf>
    <xf numFmtId="0" fontId="2" fillId="4" borderId="0" xfId="1" applyFont="1" applyFill="1" applyAlignment="1" applyProtection="1">
      <alignment wrapText="1"/>
    </xf>
    <xf numFmtId="0" fontId="4" fillId="2" borderId="0" xfId="1" applyFont="1" applyFill="1" applyBorder="1" applyAlignment="1" applyProtection="1"/>
    <xf numFmtId="0" fontId="4" fillId="2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horizontal="left" indent="1"/>
    </xf>
    <xf numFmtId="0" fontId="4" fillId="2" borderId="0" xfId="1" applyFont="1" applyFill="1" applyBorder="1" applyAlignment="1" applyProtection="1">
      <alignment horizontal="left" vertical="center" indent="1"/>
    </xf>
    <xf numFmtId="0" fontId="4" fillId="2" borderId="0" xfId="1" applyFont="1" applyFill="1" applyBorder="1" applyAlignment="1" applyProtection="1">
      <alignment horizontal="center" vertical="center"/>
    </xf>
    <xf numFmtId="3" fontId="5" fillId="4" borderId="0" xfId="1" applyNumberFormat="1" applyFont="1" applyFill="1" applyBorder="1" applyAlignment="1" applyProtection="1">
      <alignment horizontal="left" indent="1"/>
    </xf>
    <xf numFmtId="0" fontId="2" fillId="0" borderId="0" xfId="1"/>
    <xf numFmtId="0" fontId="44" fillId="2" borderId="0" xfId="1" applyFont="1" applyFill="1" applyBorder="1" applyAlignment="1" applyProtection="1">
      <alignment horizontal="left" vertical="center" indent="1"/>
    </xf>
    <xf numFmtId="0" fontId="2" fillId="3" borderId="0" xfId="1" applyFill="1"/>
    <xf numFmtId="0" fontId="5" fillId="2" borderId="0" xfId="1" applyFont="1" applyFill="1" applyBorder="1" applyAlignment="1" applyProtection="1">
      <alignment horizontal="left" vertical="center"/>
    </xf>
    <xf numFmtId="0" fontId="4" fillId="4" borderId="5" xfId="1" applyFont="1" applyFill="1" applyBorder="1" applyAlignment="1" applyProtection="1">
      <alignment horizontal="right"/>
    </xf>
    <xf numFmtId="0" fontId="4" fillId="4" borderId="5" xfId="1" applyFont="1" applyFill="1" applyBorder="1" applyAlignment="1" applyProtection="1">
      <alignment horizontal="left"/>
    </xf>
    <xf numFmtId="0" fontId="5" fillId="2" borderId="0" xfId="1" applyFont="1" applyFill="1" applyBorder="1" applyAlignment="1" applyProtection="1"/>
    <xf numFmtId="2" fontId="4" fillId="2" borderId="0" xfId="1" applyNumberFormat="1" applyFont="1" applyFill="1" applyBorder="1" applyAlignment="1" applyProtection="1">
      <alignment horizontal="left" indent="1"/>
    </xf>
    <xf numFmtId="0" fontId="4" fillId="4" borderId="0" xfId="1" applyFont="1" applyFill="1" applyAlignment="1" applyProtection="1">
      <alignment horizontal="center"/>
    </xf>
    <xf numFmtId="0" fontId="4" fillId="2" borderId="5" xfId="1" applyFont="1" applyFill="1" applyBorder="1" applyProtection="1"/>
    <xf numFmtId="0" fontId="4" fillId="2" borderId="5" xfId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horizontal="left" indent="1"/>
    </xf>
    <xf numFmtId="0" fontId="5" fillId="2" borderId="0" xfId="1" applyFont="1" applyFill="1" applyAlignment="1" applyProtection="1">
      <alignment horizontal="left"/>
    </xf>
    <xf numFmtId="0" fontId="5" fillId="3" borderId="0" xfId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right"/>
    </xf>
    <xf numFmtId="2" fontId="4" fillId="4" borderId="0" xfId="1" applyNumberFormat="1" applyFont="1" applyFill="1" applyAlignment="1" applyProtection="1">
      <alignment horizontal="center" vertical="top"/>
    </xf>
    <xf numFmtId="2" fontId="4" fillId="4" borderId="0" xfId="1" applyNumberFormat="1" applyFont="1" applyFill="1" applyBorder="1" applyAlignment="1" applyProtection="1">
      <alignment horizontal="left" indent="1"/>
    </xf>
    <xf numFmtId="0" fontId="4" fillId="4" borderId="0" xfId="1" applyFont="1" applyFill="1" applyAlignment="1" applyProtection="1"/>
    <xf numFmtId="2" fontId="5" fillId="5" borderId="0" xfId="1" applyNumberFormat="1" applyFont="1" applyFill="1" applyBorder="1" applyAlignment="1" applyProtection="1">
      <alignment horizontal="center" vertical="center"/>
    </xf>
    <xf numFmtId="0" fontId="5" fillId="3" borderId="0" xfId="1" applyFont="1" applyFill="1" applyAlignment="1" applyProtection="1">
      <alignment vertical="center" wrapText="1"/>
    </xf>
    <xf numFmtId="3" fontId="5" fillId="4" borderId="34" xfId="1" applyNumberFormat="1" applyFont="1" applyFill="1" applyBorder="1" applyAlignment="1" applyProtection="1">
      <alignment horizontal="right" indent="1"/>
      <protection locked="0"/>
    </xf>
    <xf numFmtId="0" fontId="8" fillId="3" borderId="0" xfId="1" applyFont="1" applyFill="1" applyBorder="1" applyAlignment="1" applyProtection="1">
      <alignment wrapText="1"/>
    </xf>
    <xf numFmtId="0" fontId="11" fillId="0" borderId="0" xfId="1" applyFont="1" applyFill="1" applyAlignment="1">
      <alignment horizontal="center" vertical="center"/>
    </xf>
    <xf numFmtId="0" fontId="1" fillId="3" borderId="35" xfId="0" applyFont="1" applyFill="1" applyBorder="1" applyAlignment="1">
      <alignment horizontal="center"/>
    </xf>
    <xf numFmtId="2" fontId="5" fillId="3" borderId="0" xfId="1" applyNumberFormat="1" applyFont="1" applyFill="1" applyAlignment="1" applyProtection="1"/>
    <xf numFmtId="2" fontId="5" fillId="3" borderId="0" xfId="1" applyNumberFormat="1" applyFont="1" applyFill="1" applyAlignment="1" applyProtection="1">
      <alignment horizontal="left" indent="1"/>
    </xf>
    <xf numFmtId="0" fontId="5" fillId="3" borderId="0" xfId="1" applyFont="1" applyFill="1" applyBorder="1" applyAlignment="1" applyProtection="1">
      <alignment horizontal="left" indent="1"/>
    </xf>
    <xf numFmtId="0" fontId="40" fillId="3" borderId="0" xfId="0" applyFont="1" applyFill="1" applyBorder="1" applyAlignment="1">
      <alignment vertical="top"/>
    </xf>
    <xf numFmtId="0" fontId="5" fillId="3" borderId="0" xfId="1" applyFont="1" applyFill="1" applyBorder="1" applyAlignment="1" applyProtection="1">
      <alignment horizontal="left" indent="1"/>
    </xf>
    <xf numFmtId="0" fontId="38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5" fillId="3" borderId="0" xfId="1" applyFont="1" applyFill="1" applyBorder="1" applyAlignment="1" applyProtection="1">
      <alignment vertical="top"/>
    </xf>
    <xf numFmtId="0" fontId="5" fillId="3" borderId="0" xfId="1" applyFont="1" applyFill="1" applyBorder="1" applyAlignment="1">
      <alignment vertical="top"/>
    </xf>
    <xf numFmtId="0" fontId="8" fillId="3" borderId="0" xfId="1" applyFont="1" applyFill="1" applyBorder="1" applyAlignment="1" applyProtection="1">
      <alignment vertical="center" wrapText="1"/>
    </xf>
    <xf numFmtId="0" fontId="38" fillId="3" borderId="0" xfId="0" applyFont="1" applyFill="1" applyBorder="1" applyAlignment="1">
      <alignment vertical="top"/>
    </xf>
    <xf numFmtId="0" fontId="28" fillId="3" borderId="0" xfId="0" applyFont="1" applyFill="1" applyBorder="1" applyAlignment="1">
      <alignment vertical="center"/>
    </xf>
    <xf numFmtId="0" fontId="38" fillId="3" borderId="0" xfId="0" applyFont="1" applyFill="1" applyBorder="1" applyAlignment="1">
      <alignment horizontal="left" vertical="top" indent="1"/>
    </xf>
    <xf numFmtId="0" fontId="47" fillId="3" borderId="0" xfId="0" applyFont="1" applyFill="1" applyBorder="1" applyAlignment="1">
      <alignment horizontal="left" indent="1"/>
    </xf>
    <xf numFmtId="2" fontId="6" fillId="6" borderId="20" xfId="1" applyNumberFormat="1" applyFont="1" applyFill="1" applyBorder="1" applyAlignment="1" applyProtection="1">
      <alignment horizontal="center"/>
    </xf>
    <xf numFmtId="0" fontId="6" fillId="5" borderId="19" xfId="1" applyFont="1" applyFill="1" applyBorder="1" applyAlignment="1" applyProtection="1">
      <alignment horizontal="center"/>
    </xf>
    <xf numFmtId="0" fontId="5" fillId="5" borderId="0" xfId="1" applyFont="1" applyFill="1" applyBorder="1" applyAlignment="1" applyProtection="1">
      <alignment horizontal="left" vertical="center"/>
    </xf>
    <xf numFmtId="0" fontId="38" fillId="6" borderId="0" xfId="0" applyFon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2" fontId="0" fillId="6" borderId="0" xfId="0" applyNumberFormat="1" applyFill="1" applyBorder="1" applyAlignment="1">
      <alignment vertical="center"/>
    </xf>
    <xf numFmtId="0" fontId="31" fillId="3" borderId="0" xfId="0" applyFont="1" applyFill="1" applyProtection="1">
      <protection locked="0"/>
    </xf>
    <xf numFmtId="0" fontId="5" fillId="5" borderId="0" xfId="1" applyFont="1" applyFill="1" applyBorder="1" applyAlignment="1" applyProtection="1">
      <alignment horizontal="left" indent="1"/>
    </xf>
    <xf numFmtId="0" fontId="48" fillId="0" borderId="0" xfId="0" applyFont="1"/>
    <xf numFmtId="0" fontId="48" fillId="4" borderId="0" xfId="0" applyFont="1" applyFill="1"/>
    <xf numFmtId="0" fontId="48" fillId="4" borderId="24" xfId="0" applyFont="1" applyFill="1" applyBorder="1"/>
    <xf numFmtId="0" fontId="48" fillId="4" borderId="25" xfId="0" applyFont="1" applyFill="1" applyBorder="1"/>
    <xf numFmtId="0" fontId="48" fillId="4" borderId="26" xfId="0" applyFont="1" applyFill="1" applyBorder="1"/>
    <xf numFmtId="0" fontId="48" fillId="4" borderId="0" xfId="0" applyFont="1" applyFill="1" applyBorder="1"/>
    <xf numFmtId="0" fontId="48" fillId="4" borderId="1" xfId="0" applyFont="1" applyFill="1" applyBorder="1"/>
    <xf numFmtId="0" fontId="48" fillId="4" borderId="27" xfId="0" applyFont="1" applyFill="1" applyBorder="1"/>
    <xf numFmtId="0" fontId="0" fillId="4" borderId="5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48" fillId="4" borderId="5" xfId="0" applyFont="1" applyFill="1" applyBorder="1" applyAlignment="1">
      <alignment horizontal="left" wrapText="1"/>
    </xf>
    <xf numFmtId="0" fontId="48" fillId="4" borderId="39" xfId="0" applyFont="1" applyFill="1" applyBorder="1" applyAlignment="1">
      <alignment horizontal="left" wrapText="1"/>
    </xf>
    <xf numFmtId="3" fontId="11" fillId="3" borderId="0" xfId="1" applyNumberFormat="1" applyFont="1" applyFill="1" applyBorder="1" applyAlignment="1" applyProtection="1"/>
    <xf numFmtId="0" fontId="50" fillId="0" borderId="0" xfId="0" applyFont="1" applyAlignment="1">
      <alignment vertical="center"/>
    </xf>
    <xf numFmtId="0" fontId="36" fillId="0" borderId="0" xfId="0" applyFont="1" applyAlignment="1">
      <alignment horizontal="center"/>
    </xf>
    <xf numFmtId="0" fontId="36" fillId="0" borderId="0" xfId="0" applyFont="1"/>
    <xf numFmtId="0" fontId="0" fillId="0" borderId="40" xfId="0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0" fillId="0" borderId="40" xfId="0" applyBorder="1"/>
    <xf numFmtId="2" fontId="0" fillId="0" borderId="40" xfId="0" applyNumberFormat="1" applyFill="1" applyBorder="1" applyAlignment="1">
      <alignment horizontal="center"/>
    </xf>
    <xf numFmtId="2" fontId="53" fillId="0" borderId="40" xfId="0" applyNumberFormat="1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wrapText="1"/>
    </xf>
    <xf numFmtId="0" fontId="0" fillId="0" borderId="41" xfId="0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0" fillId="0" borderId="41" xfId="0" applyBorder="1"/>
    <xf numFmtId="2" fontId="0" fillId="0" borderId="41" xfId="0" applyNumberFormat="1" applyFill="1" applyBorder="1" applyAlignment="1">
      <alignment horizontal="center"/>
    </xf>
    <xf numFmtId="2" fontId="53" fillId="0" borderId="41" xfId="0" applyNumberFormat="1" applyFont="1" applyFill="1" applyBorder="1" applyAlignment="1">
      <alignment horizontal="center"/>
    </xf>
    <xf numFmtId="0" fontId="0" fillId="0" borderId="41" xfId="0" quotePrefix="1" applyBorder="1" applyAlignment="1">
      <alignment horizontal="center"/>
    </xf>
    <xf numFmtId="0" fontId="0" fillId="0" borderId="41" xfId="0" applyFill="1" applyBorder="1"/>
    <xf numFmtId="0" fontId="0" fillId="0" borderId="42" xfId="0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0" fillId="0" borderId="42" xfId="0" applyFill="1" applyBorder="1"/>
    <xf numFmtId="2" fontId="0" fillId="0" borderId="42" xfId="0" applyNumberFormat="1" applyFill="1" applyBorder="1" applyAlignment="1">
      <alignment horizontal="center"/>
    </xf>
    <xf numFmtId="0" fontId="31" fillId="4" borderId="44" xfId="0" applyFont="1" applyFill="1" applyBorder="1" applyAlignment="1">
      <alignment horizontal="center" wrapText="1"/>
    </xf>
    <xf numFmtId="0" fontId="0" fillId="0" borderId="45" xfId="0" applyBorder="1" applyAlignment="1">
      <alignment horizontal="center"/>
    </xf>
    <xf numFmtId="2" fontId="0" fillId="0" borderId="45" xfId="0" applyNumberFormat="1" applyBorder="1" applyAlignment="1">
      <alignment horizontal="center"/>
    </xf>
    <xf numFmtId="0" fontId="0" fillId="0" borderId="45" xfId="0" applyFill="1" applyBorder="1"/>
    <xf numFmtId="2" fontId="0" fillId="0" borderId="45" xfId="0" applyNumberFormat="1" applyFill="1" applyBorder="1" applyAlignment="1">
      <alignment horizontal="center"/>
    </xf>
    <xf numFmtId="2" fontId="53" fillId="0" borderId="45" xfId="0" applyNumberFormat="1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2" fontId="0" fillId="0" borderId="47" xfId="0" applyNumberFormat="1" applyBorder="1" applyAlignment="1">
      <alignment horizontal="center"/>
    </xf>
    <xf numFmtId="0" fontId="0" fillId="0" borderId="47" xfId="0" applyBorder="1" applyAlignment="1">
      <alignment horizontal="left"/>
    </xf>
    <xf numFmtId="2" fontId="0" fillId="4" borderId="47" xfId="0" applyNumberFormat="1" applyFill="1" applyBorder="1" applyAlignment="1">
      <alignment horizontal="center"/>
    </xf>
    <xf numFmtId="0" fontId="0" fillId="0" borderId="41" xfId="0" applyBorder="1" applyAlignment="1">
      <alignment horizontal="left"/>
    </xf>
    <xf numFmtId="2" fontId="0" fillId="4" borderId="41" xfId="0" applyNumberFormat="1" applyFill="1" applyBorder="1" applyAlignment="1">
      <alignment horizontal="center"/>
    </xf>
    <xf numFmtId="0" fontId="0" fillId="0" borderId="0" xfId="0" applyBorder="1"/>
    <xf numFmtId="0" fontId="0" fillId="0" borderId="45" xfId="0" applyFill="1" applyBorder="1" applyAlignment="1">
      <alignment horizontal="left"/>
    </xf>
    <xf numFmtId="2" fontId="0" fillId="4" borderId="45" xfId="0" applyNumberFormat="1" applyFill="1" applyBorder="1" applyAlignment="1">
      <alignment horizontal="center"/>
    </xf>
    <xf numFmtId="0" fontId="0" fillId="0" borderId="45" xfId="0" applyBorder="1"/>
    <xf numFmtId="0" fontId="31" fillId="4" borderId="46" xfId="0" applyFont="1" applyFill="1" applyBorder="1" applyAlignment="1">
      <alignment horizontal="center" wrapText="1"/>
    </xf>
    <xf numFmtId="0" fontId="0" fillId="0" borderId="47" xfId="0" applyBorder="1"/>
    <xf numFmtId="2" fontId="0" fillId="0" borderId="47" xfId="0" applyNumberFormat="1" applyFill="1" applyBorder="1" applyAlignment="1">
      <alignment horizontal="center"/>
    </xf>
    <xf numFmtId="2" fontId="53" fillId="0" borderId="47" xfId="0" applyNumberFormat="1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0" fontId="0" fillId="0" borderId="49" xfId="0" applyBorder="1"/>
    <xf numFmtId="2" fontId="0" fillId="0" borderId="33" xfId="0" applyNumberFormat="1" applyFill="1" applyBorder="1" applyAlignment="1">
      <alignment horizontal="center"/>
    </xf>
    <xf numFmtId="2" fontId="0" fillId="0" borderId="0" xfId="0" applyNumberFormat="1"/>
    <xf numFmtId="2" fontId="36" fillId="4" borderId="34" xfId="0" applyNumberFormat="1" applyFont="1" applyFill="1" applyBorder="1" applyAlignment="1">
      <alignment horizontal="center"/>
    </xf>
    <xf numFmtId="0" fontId="38" fillId="4" borderId="53" xfId="0" applyFont="1" applyFill="1" applyBorder="1" applyAlignment="1">
      <alignment horizontal="center"/>
    </xf>
    <xf numFmtId="0" fontId="38" fillId="4" borderId="55" xfId="0" applyFont="1" applyFill="1" applyBorder="1" applyAlignment="1">
      <alignment horizontal="center"/>
    </xf>
    <xf numFmtId="0" fontId="36" fillId="4" borderId="52" xfId="0" applyFont="1" applyFill="1" applyBorder="1" applyAlignment="1">
      <alignment horizontal="center"/>
    </xf>
    <xf numFmtId="0" fontId="36" fillId="4" borderId="58" xfId="0" applyFont="1" applyFill="1" applyBorder="1" applyAlignment="1">
      <alignment horizontal="center"/>
    </xf>
    <xf numFmtId="2" fontId="36" fillId="4" borderId="59" xfId="0" applyNumberFormat="1" applyFont="1" applyFill="1" applyBorder="1" applyAlignment="1">
      <alignment horizontal="center"/>
    </xf>
    <xf numFmtId="0" fontId="36" fillId="4" borderId="0" xfId="0" applyFont="1" applyFill="1" applyAlignment="1">
      <alignment horizontal="center"/>
    </xf>
    <xf numFmtId="0" fontId="38" fillId="4" borderId="35" xfId="0" applyFont="1" applyFill="1" applyBorder="1" applyAlignment="1">
      <alignment horizontal="center" wrapText="1"/>
    </xf>
    <xf numFmtId="0" fontId="38" fillId="4" borderId="50" xfId="0" applyFont="1" applyFill="1" applyBorder="1" applyAlignment="1">
      <alignment horizontal="center" wrapText="1"/>
    </xf>
    <xf numFmtId="0" fontId="36" fillId="0" borderId="0" xfId="0" applyFont="1" applyBorder="1"/>
    <xf numFmtId="0" fontId="36" fillId="4" borderId="0" xfId="0" applyFont="1" applyFill="1" applyBorder="1"/>
    <xf numFmtId="0" fontId="38" fillId="4" borderId="54" xfId="0" applyFont="1" applyFill="1" applyBorder="1" applyAlignment="1">
      <alignment horizontal="center" wrapText="1"/>
    </xf>
    <xf numFmtId="0" fontId="38" fillId="4" borderId="56" xfId="0" applyFont="1" applyFill="1" applyBorder="1" applyAlignment="1">
      <alignment horizontal="center" wrapText="1"/>
    </xf>
    <xf numFmtId="0" fontId="32" fillId="0" borderId="26" xfId="0" applyFont="1" applyBorder="1" applyAlignment="1">
      <alignment horizontal="center"/>
    </xf>
    <xf numFmtId="0" fontId="0" fillId="0" borderId="0" xfId="0" applyFont="1"/>
    <xf numFmtId="0" fontId="32" fillId="0" borderId="0" xfId="0" applyFont="1"/>
    <xf numFmtId="0" fontId="32" fillId="4" borderId="31" xfId="0" applyFont="1" applyFill="1" applyBorder="1" applyAlignment="1">
      <alignment horizontal="center"/>
    </xf>
    <xf numFmtId="0" fontId="32" fillId="4" borderId="30" xfId="0" applyFont="1" applyFill="1" applyBorder="1" applyAlignment="1">
      <alignment horizontal="center" wrapText="1"/>
    </xf>
    <xf numFmtId="0" fontId="0" fillId="4" borderId="40" xfId="0" applyFont="1" applyFill="1" applyBorder="1" applyAlignment="1">
      <alignment horizontal="center"/>
    </xf>
    <xf numFmtId="2" fontId="0" fillId="4" borderId="40" xfId="0" applyNumberFormat="1" applyFont="1" applyFill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0" fontId="0" fillId="4" borderId="41" xfId="0" applyFont="1" applyFill="1" applyBorder="1" applyAlignment="1">
      <alignment horizontal="center"/>
    </xf>
    <xf numFmtId="2" fontId="0" fillId="4" borderId="41" xfId="0" applyNumberFormat="1" applyFont="1" applyFill="1" applyBorder="1" applyAlignment="1">
      <alignment horizontal="center"/>
    </xf>
    <xf numFmtId="2" fontId="0" fillId="0" borderId="41" xfId="0" applyNumberFormat="1" applyFont="1" applyBorder="1" applyAlignment="1">
      <alignment horizontal="center"/>
    </xf>
    <xf numFmtId="0" fontId="0" fillId="4" borderId="61" xfId="0" applyFont="1" applyFill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4" borderId="61" xfId="0" applyNumberFormat="1" applyFont="1" applyFill="1" applyBorder="1" applyAlignment="1">
      <alignment horizontal="center"/>
    </xf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36" fillId="0" borderId="0" xfId="0" applyFont="1" applyFill="1" applyBorder="1"/>
    <xf numFmtId="0" fontId="36" fillId="4" borderId="12" xfId="0" applyFont="1" applyFill="1" applyBorder="1"/>
    <xf numFmtId="0" fontId="36" fillId="4" borderId="6" xfId="0" applyFont="1" applyFill="1" applyBorder="1" applyAlignment="1">
      <alignment horizontal="center"/>
    </xf>
    <xf numFmtId="0" fontId="36" fillId="4" borderId="6" xfId="0" applyFont="1" applyFill="1" applyBorder="1"/>
    <xf numFmtId="0" fontId="36" fillId="4" borderId="13" xfId="0" applyFont="1" applyFill="1" applyBorder="1"/>
    <xf numFmtId="0" fontId="36" fillId="4" borderId="14" xfId="0" applyFont="1" applyFill="1" applyBorder="1"/>
    <xf numFmtId="0" fontId="36" fillId="4" borderId="0" xfId="0" applyFont="1" applyFill="1" applyBorder="1" applyAlignment="1">
      <alignment horizontal="center"/>
    </xf>
    <xf numFmtId="0" fontId="36" fillId="4" borderId="10" xfId="0" applyFont="1" applyFill="1" applyBorder="1"/>
    <xf numFmtId="2" fontId="38" fillId="4" borderId="0" xfId="0" applyNumberFormat="1" applyFont="1" applyFill="1" applyBorder="1" applyAlignment="1">
      <alignment vertical="center"/>
    </xf>
    <xf numFmtId="0" fontId="38" fillId="4" borderId="0" xfId="0" applyFont="1" applyFill="1" applyBorder="1" applyAlignment="1">
      <alignment horizontal="left" indent="1"/>
    </xf>
    <xf numFmtId="0" fontId="31" fillId="4" borderId="0" xfId="0" applyFont="1" applyFill="1" applyBorder="1" applyProtection="1">
      <protection locked="0"/>
    </xf>
    <xf numFmtId="2" fontId="38" fillId="4" borderId="0" xfId="0" applyNumberFormat="1" applyFont="1" applyFill="1" applyBorder="1" applyAlignment="1">
      <alignment horizontal="left" indent="1"/>
    </xf>
    <xf numFmtId="0" fontId="38" fillId="4" borderId="0" xfId="0" applyFont="1" applyFill="1" applyBorder="1" applyAlignment="1">
      <alignment horizontal="center"/>
    </xf>
    <xf numFmtId="4" fontId="36" fillId="4" borderId="57" xfId="0" applyNumberFormat="1" applyFont="1" applyFill="1" applyBorder="1" applyAlignment="1">
      <alignment horizontal="center"/>
    </xf>
    <xf numFmtId="2" fontId="36" fillId="4" borderId="0" xfId="0" applyNumberFormat="1" applyFont="1" applyFill="1" applyBorder="1" applyAlignment="1">
      <alignment horizontal="center"/>
    </xf>
    <xf numFmtId="0" fontId="31" fillId="4" borderId="14" xfId="0" applyFont="1" applyFill="1" applyBorder="1"/>
    <xf numFmtId="0" fontId="0" fillId="4" borderId="14" xfId="0" applyFill="1" applyBorder="1"/>
    <xf numFmtId="0" fontId="38" fillId="4" borderId="62" xfId="0" applyFont="1" applyFill="1" applyBorder="1" applyAlignment="1">
      <alignment vertical="center"/>
    </xf>
    <xf numFmtId="0" fontId="38" fillId="4" borderId="62" xfId="0" applyFont="1" applyFill="1" applyBorder="1" applyAlignment="1"/>
    <xf numFmtId="4" fontId="36" fillId="4" borderId="60" xfId="0" applyNumberFormat="1" applyFont="1" applyFill="1" applyBorder="1" applyAlignment="1">
      <alignment horizontal="center"/>
    </xf>
    <xf numFmtId="0" fontId="36" fillId="4" borderId="15" xfId="0" applyFont="1" applyFill="1" applyBorder="1"/>
    <xf numFmtId="0" fontId="36" fillId="4" borderId="5" xfId="0" applyFont="1" applyFill="1" applyBorder="1" applyAlignment="1">
      <alignment horizontal="center"/>
    </xf>
    <xf numFmtId="0" fontId="36" fillId="4" borderId="11" xfId="0" applyFont="1" applyFill="1" applyBorder="1"/>
    <xf numFmtId="0" fontId="32" fillId="0" borderId="24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27" fillId="0" borderId="0" xfId="1" applyFont="1" applyFill="1" applyAlignment="1">
      <alignment horizontal="center"/>
    </xf>
    <xf numFmtId="0" fontId="4" fillId="4" borderId="0" xfId="1" applyFont="1" applyFill="1" applyAlignment="1" applyProtection="1">
      <alignment vertical="center"/>
    </xf>
    <xf numFmtId="0" fontId="0" fillId="0" borderId="0" xfId="0" applyFont="1" applyFill="1" applyBorder="1" applyAlignment="1">
      <alignment horizontal="center"/>
    </xf>
    <xf numFmtId="0" fontId="27" fillId="0" borderId="24" xfId="1" applyFont="1" applyFill="1" applyBorder="1" applyAlignment="1">
      <alignment horizontal="center"/>
    </xf>
    <xf numFmtId="0" fontId="27" fillId="0" borderId="26" xfId="1" applyFont="1" applyFill="1" applyBorder="1" applyAlignment="1">
      <alignment horizontal="center"/>
    </xf>
    <xf numFmtId="0" fontId="48" fillId="3" borderId="0" xfId="0" applyFont="1" applyFill="1" applyBorder="1" applyAlignment="1">
      <alignment horizontal="left" vertical="center" wrapText="1"/>
    </xf>
    <xf numFmtId="0" fontId="48" fillId="3" borderId="27" xfId="0" applyFont="1" applyFill="1" applyBorder="1" applyAlignment="1">
      <alignment horizontal="left" vertical="center" wrapText="1"/>
    </xf>
    <xf numFmtId="0" fontId="32" fillId="0" borderId="26" xfId="0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27" fillId="0" borderId="0" xfId="1" applyFont="1" applyFill="1" applyAlignment="1">
      <alignment horizontal="center"/>
    </xf>
    <xf numFmtId="1" fontId="38" fillId="8" borderId="34" xfId="0" applyNumberFormat="1" applyFont="1" applyFill="1" applyBorder="1" applyAlignment="1" applyProtection="1">
      <alignment horizontal="center"/>
      <protection locked="0"/>
    </xf>
    <xf numFmtId="4" fontId="38" fillId="8" borderId="34" xfId="0" applyNumberFormat="1" applyFont="1" applyFill="1" applyBorder="1" applyAlignment="1" applyProtection="1">
      <alignment horizontal="center"/>
      <protection locked="0"/>
    </xf>
    <xf numFmtId="0" fontId="48" fillId="3" borderId="5" xfId="0" applyFont="1" applyFill="1" applyBorder="1"/>
    <xf numFmtId="0" fontId="48" fillId="3" borderId="39" xfId="0" applyFont="1" applyFill="1" applyBorder="1"/>
    <xf numFmtId="0" fontId="1" fillId="3" borderId="34" xfId="0" applyFont="1" applyFill="1" applyBorder="1" applyAlignment="1">
      <alignment horizontal="center"/>
    </xf>
    <xf numFmtId="0" fontId="27" fillId="0" borderId="0" xfId="1" applyFont="1" applyFill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4" fontId="0" fillId="0" borderId="61" xfId="0" applyNumberFormat="1" applyFont="1" applyBorder="1" applyAlignment="1">
      <alignment horizontal="center"/>
    </xf>
    <xf numFmtId="0" fontId="0" fillId="3" borderId="40" xfId="0" applyFill="1" applyBorder="1"/>
    <xf numFmtId="2" fontId="0" fillId="3" borderId="40" xfId="0" applyNumberFormat="1" applyFill="1" applyBorder="1" applyAlignment="1">
      <alignment horizontal="left"/>
    </xf>
    <xf numFmtId="0" fontId="0" fillId="3" borderId="41" xfId="0" applyFill="1" applyBorder="1"/>
    <xf numFmtId="2" fontId="0" fillId="3" borderId="41" xfId="0" applyNumberFormat="1" applyFill="1" applyBorder="1" applyAlignment="1">
      <alignment horizontal="left"/>
    </xf>
    <xf numFmtId="0" fontId="0" fillId="3" borderId="41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27" fillId="3" borderId="40" xfId="0" applyFont="1" applyFill="1" applyBorder="1" applyAlignment="1">
      <alignment horizontal="left"/>
    </xf>
    <xf numFmtId="0" fontId="57" fillId="3" borderId="41" xfId="0" applyFont="1" applyFill="1" applyBorder="1" applyAlignment="1">
      <alignment horizontal="left"/>
    </xf>
    <xf numFmtId="0" fontId="27" fillId="3" borderId="41" xfId="1" applyFont="1" applyFill="1" applyBorder="1" applyAlignment="1">
      <alignment horizontal="left"/>
    </xf>
    <xf numFmtId="0" fontId="27" fillId="3" borderId="41" xfId="0" applyFont="1" applyFill="1" applyBorder="1" applyAlignment="1">
      <alignment horizontal="left"/>
    </xf>
    <xf numFmtId="164" fontId="0" fillId="3" borderId="41" xfId="0" applyNumberFormat="1" applyFill="1" applyBorder="1" applyAlignment="1">
      <alignment horizontal="left"/>
    </xf>
    <xf numFmtId="0" fontId="0" fillId="3" borderId="61" xfId="0" applyFill="1" applyBorder="1" applyAlignment="1">
      <alignment horizontal="left"/>
    </xf>
    <xf numFmtId="165" fontId="0" fillId="0" borderId="40" xfId="0" applyNumberFormat="1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165" fontId="0" fillId="0" borderId="61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0" fontId="32" fillId="0" borderId="51" xfId="0" applyFont="1" applyFill="1" applyBorder="1"/>
    <xf numFmtId="0" fontId="62" fillId="3" borderId="6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3" borderId="33" xfId="0" applyFill="1" applyBorder="1"/>
    <xf numFmtId="0" fontId="11" fillId="4" borderId="32" xfId="0" applyFont="1" applyFill="1" applyBorder="1" applyAlignment="1">
      <alignment horizontal="center"/>
    </xf>
    <xf numFmtId="0" fontId="32" fillId="4" borderId="32" xfId="0" applyFont="1" applyFill="1" applyBorder="1" applyAlignment="1">
      <alignment horizontal="center"/>
    </xf>
    <xf numFmtId="0" fontId="60" fillId="4" borderId="32" xfId="0" applyFont="1" applyFill="1" applyBorder="1" applyAlignment="1">
      <alignment horizontal="center" wrapText="1"/>
    </xf>
    <xf numFmtId="0" fontId="60" fillId="4" borderId="33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 wrapText="1"/>
    </xf>
    <xf numFmtId="0" fontId="0" fillId="3" borderId="42" xfId="0" applyFill="1" applyBorder="1"/>
    <xf numFmtId="2" fontId="0" fillId="3" borderId="42" xfId="0" applyNumberFormat="1" applyFill="1" applyBorder="1" applyAlignment="1">
      <alignment horizontal="left"/>
    </xf>
    <xf numFmtId="0" fontId="60" fillId="3" borderId="32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wrapText="1"/>
    </xf>
    <xf numFmtId="165" fontId="0" fillId="3" borderId="40" xfId="0" applyNumberFormat="1" applyFill="1" applyBorder="1" applyAlignment="1">
      <alignment horizontal="center"/>
    </xf>
    <xf numFmtId="165" fontId="0" fillId="3" borderId="41" xfId="0" applyNumberFormat="1" applyFill="1" applyBorder="1" applyAlignment="1">
      <alignment horizontal="center"/>
    </xf>
    <xf numFmtId="165" fontId="0" fillId="3" borderId="61" xfId="0" applyNumberFormat="1" applyFill="1" applyBorder="1" applyAlignment="1">
      <alignment horizontal="center"/>
    </xf>
    <xf numFmtId="0" fontId="0" fillId="9" borderId="41" xfId="0" applyFill="1" applyBorder="1"/>
    <xf numFmtId="0" fontId="0" fillId="9" borderId="41" xfId="0" applyFill="1" applyBorder="1" applyAlignment="1">
      <alignment horizontal="left"/>
    </xf>
    <xf numFmtId="0" fontId="0" fillId="9" borderId="61" xfId="0" applyFill="1" applyBorder="1"/>
    <xf numFmtId="2" fontId="0" fillId="9" borderId="61" xfId="0" applyNumberFormat="1" applyFill="1" applyBorder="1" applyAlignment="1">
      <alignment horizontal="left"/>
    </xf>
    <xf numFmtId="0" fontId="32" fillId="3" borderId="32" xfId="0" applyFont="1" applyFill="1" applyBorder="1" applyAlignment="1">
      <alignment horizontal="center"/>
    </xf>
    <xf numFmtId="0" fontId="32" fillId="3" borderId="31" xfId="0" applyFont="1" applyFill="1" applyBorder="1" applyAlignment="1">
      <alignment horizontal="center"/>
    </xf>
    <xf numFmtId="0" fontId="32" fillId="3" borderId="40" xfId="0" applyFont="1" applyFill="1" applyBorder="1" applyAlignment="1">
      <alignment horizontal="center"/>
    </xf>
    <xf numFmtId="0" fontId="32" fillId="3" borderId="41" xfId="0" applyFont="1" applyFill="1" applyBorder="1" applyAlignment="1">
      <alignment horizontal="center"/>
    </xf>
    <xf numFmtId="0" fontId="32" fillId="3" borderId="61" xfId="0" applyFont="1" applyFill="1" applyBorder="1" applyAlignment="1">
      <alignment horizontal="center"/>
    </xf>
    <xf numFmtId="0" fontId="0" fillId="3" borderId="32" xfId="0" applyFill="1" applyBorder="1"/>
    <xf numFmtId="0" fontId="31" fillId="3" borderId="33" xfId="0" applyFont="1" applyFill="1" applyBorder="1" applyAlignment="1">
      <alignment horizontal="left"/>
    </xf>
    <xf numFmtId="0" fontId="31" fillId="3" borderId="31" xfId="0" applyFont="1" applyFill="1" applyBorder="1" applyAlignment="1">
      <alignment horizontal="left"/>
    </xf>
    <xf numFmtId="0" fontId="32" fillId="4" borderId="4" xfId="0" applyFont="1" applyFill="1" applyBorder="1"/>
    <xf numFmtId="0" fontId="32" fillId="4" borderId="3" xfId="0" applyFont="1" applyFill="1" applyBorder="1" applyAlignment="1">
      <alignment horizontal="left"/>
    </xf>
    <xf numFmtId="0" fontId="41" fillId="0" borderId="0" xfId="0" applyFont="1"/>
    <xf numFmtId="1" fontId="0" fillId="0" borderId="63" xfId="0" applyNumberFormat="1" applyBorder="1" applyAlignment="1">
      <alignment horizontal="center"/>
    </xf>
    <xf numFmtId="0" fontId="0" fillId="0" borderId="29" xfId="0" applyBorder="1"/>
    <xf numFmtId="0" fontId="63" fillId="3" borderId="4" xfId="0" applyFont="1" applyFill="1" applyBorder="1" applyAlignment="1"/>
    <xf numFmtId="0" fontId="63" fillId="3" borderId="2" xfId="0" applyFont="1" applyFill="1" applyBorder="1" applyAlignment="1"/>
    <xf numFmtId="0" fontId="0" fillId="3" borderId="2" xfId="0" applyFill="1" applyBorder="1"/>
    <xf numFmtId="0" fontId="0" fillId="9" borderId="40" xfId="0" applyFill="1" applyBorder="1"/>
    <xf numFmtId="165" fontId="0" fillId="9" borderId="40" xfId="0" applyNumberFormat="1" applyFill="1" applyBorder="1" applyAlignment="1">
      <alignment horizontal="left"/>
    </xf>
    <xf numFmtId="0" fontId="0" fillId="9" borderId="41" xfId="0" applyFill="1" applyBorder="1" applyAlignment="1">
      <alignment vertical="center"/>
    </xf>
    <xf numFmtId="164" fontId="0" fillId="9" borderId="41" xfId="0" applyNumberFormat="1" applyFill="1" applyBorder="1" applyAlignment="1">
      <alignment horizontal="left"/>
    </xf>
    <xf numFmtId="2" fontId="0" fillId="9" borderId="41" xfId="0" applyNumberFormat="1" applyFill="1" applyBorder="1" applyAlignment="1">
      <alignment horizontal="left"/>
    </xf>
    <xf numFmtId="0" fontId="32" fillId="0" borderId="40" xfId="0" applyFont="1" applyBorder="1"/>
    <xf numFmtId="0" fontId="32" fillId="0" borderId="41" xfId="0" applyFont="1" applyBorder="1"/>
    <xf numFmtId="0" fontId="32" fillId="0" borderId="61" xfId="0" applyFont="1" applyBorder="1"/>
    <xf numFmtId="0" fontId="32" fillId="3" borderId="0" xfId="0" applyFont="1" applyFill="1"/>
    <xf numFmtId="0" fontId="63" fillId="0" borderId="29" xfId="0" applyFont="1" applyBorder="1" applyAlignment="1"/>
    <xf numFmtId="0" fontId="63" fillId="0" borderId="29" xfId="0" applyFont="1" applyBorder="1"/>
    <xf numFmtId="0" fontId="0" fillId="0" borderId="0" xfId="0" applyBorder="1" applyAlignment="1">
      <alignment vertical="center"/>
    </xf>
    <xf numFmtId="0" fontId="0" fillId="0" borderId="0" xfId="0" applyFont="1" applyBorder="1"/>
    <xf numFmtId="0" fontId="64" fillId="0" borderId="0" xfId="0" applyFont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0" xfId="0" quotePrefix="1" applyBorder="1" applyAlignment="1">
      <alignment vertical="top"/>
    </xf>
    <xf numFmtId="0" fontId="41" fillId="0" borderId="0" xfId="0" applyFont="1" applyBorder="1"/>
    <xf numFmtId="0" fontId="0" fillId="0" borderId="0" xfId="0" quotePrefix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0" fillId="0" borderId="0" xfId="0" applyFont="1" applyBorder="1" applyAlignment="1"/>
    <xf numFmtId="0" fontId="66" fillId="0" borderId="0" xfId="0" applyFont="1" applyBorder="1" applyAlignment="1"/>
    <xf numFmtId="0" fontId="32" fillId="0" borderId="0" xfId="0" applyFont="1" applyBorder="1" applyAlignment="1">
      <alignment vertical="center"/>
    </xf>
    <xf numFmtId="0" fontId="66" fillId="0" borderId="0" xfId="0" applyFont="1" applyBorder="1"/>
    <xf numFmtId="0" fontId="56" fillId="0" borderId="0" xfId="0" applyFont="1" applyBorder="1" applyAlignment="1">
      <alignment horizontal="center"/>
    </xf>
    <xf numFmtId="164" fontId="0" fillId="0" borderId="0" xfId="0" applyNumberFormat="1" applyBorder="1"/>
    <xf numFmtId="0" fontId="63" fillId="4" borderId="0" xfId="0" applyFont="1" applyFill="1"/>
    <xf numFmtId="2" fontId="27" fillId="0" borderId="0" xfId="1" applyNumberFormat="1" applyFont="1" applyAlignment="1">
      <alignment horizontal="center"/>
    </xf>
    <xf numFmtId="0" fontId="71" fillId="0" borderId="0" xfId="0" applyFont="1"/>
    <xf numFmtId="0" fontId="0" fillId="0" borderId="0" xfId="0" applyFont="1" applyBorder="1" applyAlignment="1">
      <alignment horizontal="center"/>
    </xf>
    <xf numFmtId="0" fontId="27" fillId="0" borderId="0" xfId="1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27" fillId="0" borderId="1" xfId="1" applyFont="1" applyFill="1" applyBorder="1" applyAlignment="1">
      <alignment horizontal="center"/>
    </xf>
    <xf numFmtId="0" fontId="27" fillId="0" borderId="27" xfId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42" xfId="0" applyBorder="1"/>
    <xf numFmtId="2" fontId="0" fillId="4" borderId="42" xfId="0" applyNumberForma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3" xfId="0" applyBorder="1"/>
    <xf numFmtId="2" fontId="0" fillId="0" borderId="33" xfId="0" applyNumberFormat="1" applyBorder="1" applyAlignment="1">
      <alignment horizontal="center"/>
    </xf>
    <xf numFmtId="2" fontId="0" fillId="4" borderId="33" xfId="0" applyNumberFormat="1" applyFill="1" applyBorder="1" applyAlignment="1">
      <alignment horizontal="center"/>
    </xf>
    <xf numFmtId="2" fontId="53" fillId="0" borderId="48" xfId="0" applyNumberFormat="1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8" xfId="0" applyBorder="1"/>
    <xf numFmtId="2" fontId="0" fillId="4" borderId="48" xfId="0" applyNumberFormat="1" applyFill="1" applyBorder="1" applyAlignment="1">
      <alignment horizontal="center"/>
    </xf>
    <xf numFmtId="2" fontId="53" fillId="0" borderId="42" xfId="0" applyNumberFormat="1" applyFont="1" applyFill="1" applyBorder="1" applyAlignment="1">
      <alignment horizontal="center"/>
    </xf>
    <xf numFmtId="2" fontId="0" fillId="0" borderId="48" xfId="0" applyNumberFormat="1" applyFill="1" applyBorder="1" applyAlignment="1">
      <alignment horizontal="center"/>
    </xf>
    <xf numFmtId="0" fontId="0" fillId="0" borderId="31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1" xfId="0" applyNumberFormat="1" applyFill="1" applyBorder="1" applyAlignment="1">
      <alignment horizontal="center"/>
    </xf>
    <xf numFmtId="2" fontId="53" fillId="0" borderId="31" xfId="0" applyNumberFormat="1" applyFont="1" applyFill="1" applyBorder="1" applyAlignment="1">
      <alignment horizontal="center"/>
    </xf>
    <xf numFmtId="0" fontId="0" fillId="0" borderId="61" xfId="0" applyBorder="1" applyAlignment="1">
      <alignment horizontal="center"/>
    </xf>
    <xf numFmtId="1" fontId="31" fillId="4" borderId="26" xfId="0" applyNumberFormat="1" applyFont="1" applyFill="1" applyBorder="1" applyAlignment="1">
      <alignment horizontal="center"/>
    </xf>
    <xf numFmtId="1" fontId="31" fillId="4" borderId="27" xfId="0" applyNumberFormat="1" applyFont="1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2" fontId="53" fillId="4" borderId="41" xfId="0" applyNumberFormat="1" applyFont="1" applyFill="1" applyBorder="1" applyAlignment="1">
      <alignment horizontal="center"/>
    </xf>
    <xf numFmtId="2" fontId="0" fillId="0" borderId="48" xfId="0" applyNumberFormat="1" applyFont="1" applyFill="1" applyBorder="1" applyAlignment="1">
      <alignment horizontal="center"/>
    </xf>
    <xf numFmtId="2" fontId="0" fillId="0" borderId="41" xfId="0" applyNumberFormat="1" applyFont="1" applyFill="1" applyBorder="1" applyAlignment="1">
      <alignment horizontal="center"/>
    </xf>
    <xf numFmtId="2" fontId="0" fillId="0" borderId="42" xfId="0" applyNumberFormat="1" applyFont="1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2" fontId="53" fillId="4" borderId="47" xfId="0" applyNumberFormat="1" applyFont="1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2" fontId="53" fillId="4" borderId="45" xfId="0" applyNumberFormat="1" applyFont="1" applyFill="1" applyBorder="1" applyAlignment="1">
      <alignment horizontal="center"/>
    </xf>
    <xf numFmtId="0" fontId="27" fillId="0" borderId="0" xfId="1" applyFont="1" applyFill="1" applyAlignment="1">
      <alignment horizontal="center"/>
    </xf>
    <xf numFmtId="2" fontId="38" fillId="4" borderId="0" xfId="0" applyNumberFormat="1" applyFont="1" applyFill="1" applyAlignment="1">
      <alignment vertical="center"/>
    </xf>
    <xf numFmtId="0" fontId="31" fillId="4" borderId="0" xfId="0" applyFont="1" applyFill="1" applyProtection="1">
      <protection locked="0"/>
    </xf>
    <xf numFmtId="0" fontId="38" fillId="4" borderId="0" xfId="0" applyFont="1" applyFill="1" applyAlignment="1">
      <alignment horizontal="left" indent="1"/>
    </xf>
    <xf numFmtId="0" fontId="38" fillId="4" borderId="0" xfId="0" applyFont="1" applyFill="1"/>
    <xf numFmtId="0" fontId="0" fillId="4" borderId="10" xfId="0" applyFill="1" applyBorder="1"/>
    <xf numFmtId="2" fontId="38" fillId="4" borderId="0" xfId="0" applyNumberFormat="1" applyFont="1" applyFill="1" applyAlignment="1">
      <alignment horizontal="left" indent="1"/>
    </xf>
    <xf numFmtId="0" fontId="53" fillId="4" borderId="0" xfId="0" applyFont="1" applyFill="1"/>
    <xf numFmtId="0" fontId="73" fillId="4" borderId="0" xfId="0" applyFont="1" applyFill="1"/>
    <xf numFmtId="0" fontId="36" fillId="4" borderId="0" xfId="0" applyFont="1" applyFill="1" applyProtection="1">
      <protection locked="0"/>
    </xf>
    <xf numFmtId="0" fontId="36" fillId="4" borderId="0" xfId="0" applyFont="1" applyFill="1" applyAlignment="1">
      <alignment horizontal="left"/>
    </xf>
    <xf numFmtId="0" fontId="38" fillId="4" borderId="14" xfId="0" applyFont="1" applyFill="1" applyBorder="1" applyAlignment="1">
      <alignment vertical="center"/>
    </xf>
    <xf numFmtId="2" fontId="38" fillId="4" borderId="0" xfId="0" applyNumberFormat="1" applyFont="1" applyFill="1"/>
    <xf numFmtId="0" fontId="38" fillId="4" borderId="14" xfId="0" applyFont="1" applyFill="1" applyBorder="1"/>
    <xf numFmtId="0" fontId="53" fillId="4" borderId="0" xfId="0" applyFont="1" applyFill="1" applyAlignment="1">
      <alignment horizontal="left" vertical="center" indent="2"/>
    </xf>
    <xf numFmtId="0" fontId="53" fillId="4" borderId="0" xfId="0" applyFont="1" applyFill="1" applyAlignment="1">
      <alignment vertical="center" wrapText="1"/>
    </xf>
    <xf numFmtId="4" fontId="38" fillId="4" borderId="0" xfId="0" applyNumberFormat="1" applyFont="1" applyFill="1"/>
    <xf numFmtId="0" fontId="0" fillId="0" borderId="6" xfId="0" applyBorder="1"/>
    <xf numFmtId="0" fontId="36" fillId="0" borderId="6" xfId="0" applyFont="1" applyBorder="1"/>
    <xf numFmtId="0" fontId="36" fillId="0" borderId="6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2" fontId="0" fillId="0" borderId="0" xfId="0" applyNumberFormat="1" applyAlignment="1">
      <alignment horizontal="center"/>
    </xf>
    <xf numFmtId="2" fontId="32" fillId="3" borderId="32" xfId="0" applyNumberFormat="1" applyFont="1" applyFill="1" applyBorder="1" applyAlignment="1">
      <alignment horizontal="center"/>
    </xf>
    <xf numFmtId="0" fontId="32" fillId="3" borderId="32" xfId="0" applyFont="1" applyFill="1" applyBorder="1" applyAlignment="1">
      <alignment horizontal="left"/>
    </xf>
    <xf numFmtId="0" fontId="32" fillId="3" borderId="28" xfId="0" applyFont="1" applyFill="1" applyBorder="1" applyAlignment="1">
      <alignment horizontal="center"/>
    </xf>
    <xf numFmtId="0" fontId="32" fillId="3" borderId="30" xfId="0" applyFont="1" applyFill="1" applyBorder="1" applyAlignment="1">
      <alignment horizontal="center"/>
    </xf>
    <xf numFmtId="2" fontId="32" fillId="3" borderId="31" xfId="0" applyNumberFormat="1" applyFont="1" applyFill="1" applyBorder="1" applyAlignment="1">
      <alignment horizontal="center"/>
    </xf>
    <xf numFmtId="0" fontId="32" fillId="3" borderId="33" xfId="0" applyFont="1" applyFill="1" applyBorder="1" applyAlignment="1">
      <alignment horizontal="left"/>
    </xf>
    <xf numFmtId="1" fontId="31" fillId="3" borderId="26" xfId="0" applyNumberFormat="1" applyFont="1" applyFill="1" applyBorder="1" applyAlignment="1">
      <alignment horizontal="center"/>
    </xf>
    <xf numFmtId="1" fontId="31" fillId="3" borderId="27" xfId="0" applyNumberFormat="1" applyFont="1" applyFill="1" applyBorder="1" applyAlignment="1">
      <alignment horizontal="center"/>
    </xf>
    <xf numFmtId="1" fontId="31" fillId="3" borderId="30" xfId="0" applyNumberFormat="1" applyFont="1" applyFill="1" applyBorder="1" applyAlignment="1">
      <alignment horizontal="center"/>
    </xf>
    <xf numFmtId="1" fontId="31" fillId="3" borderId="33" xfId="0" applyNumberFormat="1" applyFont="1" applyFill="1" applyBorder="1" applyAlignment="1">
      <alignment horizontal="left"/>
    </xf>
    <xf numFmtId="1" fontId="31" fillId="3" borderId="49" xfId="0" applyNumberFormat="1" applyFont="1" applyFill="1" applyBorder="1" applyAlignment="1">
      <alignment horizontal="left"/>
    </xf>
    <xf numFmtId="0" fontId="31" fillId="3" borderId="46" xfId="0" applyFont="1" applyFill="1" applyBorder="1" applyAlignment="1">
      <alignment horizontal="center" wrapText="1"/>
    </xf>
    <xf numFmtId="0" fontId="31" fillId="3" borderId="27" xfId="0" applyFont="1" applyFill="1" applyBorder="1" applyAlignment="1">
      <alignment horizontal="center" wrapText="1"/>
    </xf>
    <xf numFmtId="0" fontId="31" fillId="3" borderId="44" xfId="0" applyFont="1" applyFill="1" applyBorder="1" applyAlignment="1">
      <alignment horizontal="center" wrapText="1"/>
    </xf>
    <xf numFmtId="1" fontId="31" fillId="3" borderId="46" xfId="0" applyNumberFormat="1" applyFont="1" applyFill="1" applyBorder="1" applyAlignment="1">
      <alignment horizontal="center"/>
    </xf>
    <xf numFmtId="0" fontId="9" fillId="0" borderId="0" xfId="1" applyFont="1" applyFill="1" applyAlignment="1">
      <alignment horizontal="right"/>
    </xf>
    <xf numFmtId="2" fontId="27" fillId="0" borderId="0" xfId="1" applyNumberFormat="1" applyFont="1" applyFill="1"/>
    <xf numFmtId="0" fontId="31" fillId="0" borderId="0" xfId="0" applyFont="1" applyFill="1"/>
    <xf numFmtId="0" fontId="32" fillId="3" borderId="29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vertical="top" textRotation="180" wrapText="1"/>
    </xf>
    <xf numFmtId="0" fontId="52" fillId="3" borderId="0" xfId="0" applyFont="1" applyFill="1" applyBorder="1" applyAlignment="1">
      <alignment horizontal="center" vertical="top" textRotation="180" wrapText="1"/>
    </xf>
    <xf numFmtId="0" fontId="31" fillId="3" borderId="33" xfId="0" applyFont="1" applyFill="1" applyBorder="1"/>
    <xf numFmtId="0" fontId="31" fillId="3" borderId="49" xfId="0" applyFont="1" applyFill="1" applyBorder="1"/>
    <xf numFmtId="1" fontId="31" fillId="4" borderId="46" xfId="0" applyNumberFormat="1" applyFont="1" applyFill="1" applyBorder="1" applyAlignment="1">
      <alignment horizontal="center"/>
    </xf>
    <xf numFmtId="1" fontId="31" fillId="4" borderId="44" xfId="0" applyNumberFormat="1" applyFont="1" applyFill="1" applyBorder="1" applyAlignment="1">
      <alignment horizontal="center"/>
    </xf>
    <xf numFmtId="2" fontId="0" fillId="0" borderId="47" xfId="0" applyNumberFormat="1" applyFont="1" applyFill="1" applyBorder="1" applyAlignment="1">
      <alignment horizontal="center"/>
    </xf>
    <xf numFmtId="2" fontId="0" fillId="0" borderId="45" xfId="0" applyNumberFormat="1" applyFont="1" applyFill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1" fillId="0" borderId="40" xfId="0" applyFont="1" applyBorder="1" applyAlignment="1" applyProtection="1">
      <alignment horizontal="left"/>
      <protection locked="0"/>
    </xf>
    <xf numFmtId="0" fontId="31" fillId="0" borderId="41" xfId="0" applyFont="1" applyBorder="1" applyAlignment="1" applyProtection="1">
      <alignment horizontal="left"/>
      <protection locked="0"/>
    </xf>
    <xf numFmtId="0" fontId="31" fillId="0" borderId="61" xfId="0" applyFont="1" applyBorder="1" applyAlignment="1" applyProtection="1">
      <alignment horizontal="left"/>
      <protection locked="0"/>
    </xf>
    <xf numFmtId="0" fontId="31" fillId="0" borderId="27" xfId="0" applyFont="1" applyBorder="1" applyAlignment="1" applyProtection="1">
      <alignment horizontal="left"/>
      <protection locked="0"/>
    </xf>
    <xf numFmtId="2" fontId="0" fillId="0" borderId="33" xfId="0" applyNumberFormat="1" applyFont="1" applyFill="1" applyBorder="1" applyAlignment="1">
      <alignment horizontal="center"/>
    </xf>
    <xf numFmtId="2" fontId="0" fillId="0" borderId="61" xfId="0" applyNumberFormat="1" applyFont="1" applyFill="1" applyBorder="1" applyAlignment="1">
      <alignment horizontal="center"/>
    </xf>
    <xf numFmtId="2" fontId="27" fillId="0" borderId="40" xfId="0" applyNumberFormat="1" applyFont="1" applyBorder="1" applyAlignment="1">
      <alignment horizontal="center"/>
    </xf>
    <xf numFmtId="2" fontId="27" fillId="0" borderId="41" xfId="0" applyNumberFormat="1" applyFont="1" applyBorder="1" applyAlignment="1">
      <alignment horizontal="center"/>
    </xf>
    <xf numFmtId="2" fontId="27" fillId="0" borderId="41" xfId="0" applyNumberFormat="1" applyFont="1" applyFill="1" applyBorder="1" applyAlignment="1">
      <alignment horizontal="center"/>
    </xf>
    <xf numFmtId="2" fontId="27" fillId="0" borderId="61" xfId="0" applyNumberFormat="1" applyFont="1" applyFill="1" applyBorder="1" applyAlignment="1">
      <alignment horizontal="center"/>
    </xf>
    <xf numFmtId="2" fontId="27" fillId="0" borderId="61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6" fillId="4" borderId="62" xfId="0" applyFont="1" applyFill="1" applyBorder="1"/>
    <xf numFmtId="0" fontId="36" fillId="4" borderId="65" xfId="0" applyFont="1" applyFill="1" applyBorder="1"/>
    <xf numFmtId="0" fontId="36" fillId="4" borderId="33" xfId="0" applyFont="1" applyFill="1" applyBorder="1"/>
    <xf numFmtId="0" fontId="53" fillId="4" borderId="0" xfId="0" applyFont="1" applyFill="1" applyBorder="1" applyAlignment="1">
      <alignment horizontal="left"/>
    </xf>
    <xf numFmtId="0" fontId="36" fillId="4" borderId="6" xfId="0" applyFont="1" applyFill="1" applyBorder="1" applyAlignment="1"/>
    <xf numFmtId="0" fontId="48" fillId="3" borderId="0" xfId="0" applyFont="1" applyFill="1" applyBorder="1" applyAlignment="1">
      <alignment horizontal="left" vertical="center"/>
    </xf>
    <xf numFmtId="0" fontId="48" fillId="3" borderId="27" xfId="0" applyFont="1" applyFill="1" applyBorder="1" applyAlignment="1">
      <alignment horizontal="left" vertical="center"/>
    </xf>
    <xf numFmtId="0" fontId="48" fillId="3" borderId="0" xfId="0" applyFont="1" applyFill="1" applyBorder="1" applyAlignment="1">
      <alignment horizontal="left" vertical="center" wrapText="1"/>
    </xf>
    <xf numFmtId="0" fontId="48" fillId="3" borderId="27" xfId="0" applyFont="1" applyFill="1" applyBorder="1" applyAlignment="1">
      <alignment horizontal="left" vertical="center" wrapText="1"/>
    </xf>
    <xf numFmtId="0" fontId="48" fillId="4" borderId="6" xfId="0" applyFont="1" applyFill="1" applyBorder="1" applyAlignment="1">
      <alignment horizontal="left" vertical="center"/>
    </xf>
    <xf numFmtId="0" fontId="48" fillId="4" borderId="37" xfId="0" applyFont="1" applyFill="1" applyBorder="1" applyAlignment="1">
      <alignment horizontal="left" vertical="center"/>
    </xf>
    <xf numFmtId="0" fontId="48" fillId="4" borderId="0" xfId="0" applyFont="1" applyFill="1" applyBorder="1" applyAlignment="1">
      <alignment horizontal="left" vertical="center"/>
    </xf>
    <xf numFmtId="0" fontId="48" fillId="4" borderId="27" xfId="0" applyFont="1" applyFill="1" applyBorder="1" applyAlignment="1">
      <alignment horizontal="left" vertical="center"/>
    </xf>
    <xf numFmtId="0" fontId="51" fillId="0" borderId="36" xfId="2" applyBorder="1" applyAlignment="1" applyProtection="1">
      <alignment horizontal="left" vertical="center" indent="2"/>
      <protection locked="0"/>
    </xf>
    <xf numFmtId="0" fontId="51" fillId="0" borderId="1" xfId="2" applyBorder="1" applyAlignment="1" applyProtection="1">
      <alignment horizontal="left" vertical="center" indent="2"/>
      <protection locked="0"/>
    </xf>
    <xf numFmtId="0" fontId="51" fillId="0" borderId="38" xfId="2" applyBorder="1" applyAlignment="1" applyProtection="1">
      <alignment horizontal="left" vertical="center" indent="2"/>
      <protection locked="0"/>
    </xf>
    <xf numFmtId="0" fontId="51" fillId="3" borderId="36" xfId="2" applyFill="1" applyBorder="1" applyAlignment="1" applyProtection="1">
      <alignment horizontal="left" vertical="center" indent="2"/>
      <protection locked="0"/>
    </xf>
    <xf numFmtId="0" fontId="51" fillId="3" borderId="1" xfId="2" applyFill="1" applyBorder="1" applyAlignment="1" applyProtection="1">
      <alignment horizontal="left" vertical="center" indent="2"/>
      <protection locked="0"/>
    </xf>
    <xf numFmtId="0" fontId="51" fillId="3" borderId="38" xfId="2" applyFill="1" applyBorder="1" applyAlignment="1" applyProtection="1">
      <alignment horizontal="left" vertical="center" indent="2"/>
      <protection locked="0"/>
    </xf>
    <xf numFmtId="0" fontId="48" fillId="4" borderId="0" xfId="0" applyFont="1" applyFill="1" applyBorder="1" applyAlignment="1">
      <alignment horizontal="left" wrapText="1"/>
    </xf>
    <xf numFmtId="0" fontId="48" fillId="4" borderId="27" xfId="0" applyFont="1" applyFill="1" applyBorder="1" applyAlignment="1">
      <alignment horizontal="left" wrapText="1"/>
    </xf>
    <xf numFmtId="0" fontId="48" fillId="3" borderId="6" xfId="0" applyFont="1" applyFill="1" applyBorder="1" applyAlignment="1">
      <alignment horizontal="left" vertical="center"/>
    </xf>
    <xf numFmtId="0" fontId="48" fillId="3" borderId="37" xfId="0" applyFont="1" applyFill="1" applyBorder="1" applyAlignment="1">
      <alignment horizontal="left" vertical="center"/>
    </xf>
    <xf numFmtId="0" fontId="49" fillId="4" borderId="1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49" fillId="4" borderId="27" xfId="0" applyFont="1" applyFill="1" applyBorder="1" applyAlignment="1">
      <alignment horizontal="center"/>
    </xf>
    <xf numFmtId="0" fontId="48" fillId="3" borderId="5" xfId="0" applyFont="1" applyFill="1" applyBorder="1" applyAlignment="1">
      <alignment horizontal="left" vertical="center"/>
    </xf>
    <xf numFmtId="0" fontId="48" fillId="3" borderId="39" xfId="0" applyFont="1" applyFill="1" applyBorder="1" applyAlignment="1">
      <alignment horizontal="left" vertical="center"/>
    </xf>
    <xf numFmtId="0" fontId="48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27" xfId="0" applyFill="1" applyBorder="1" applyAlignment="1">
      <alignment wrapText="1"/>
    </xf>
    <xf numFmtId="0" fontId="51" fillId="0" borderId="1" xfId="2" applyFill="1" applyBorder="1" applyAlignment="1" applyProtection="1">
      <alignment horizontal="left" vertical="center" indent="2"/>
      <protection locked="0"/>
    </xf>
    <xf numFmtId="0" fontId="51" fillId="0" borderId="28" xfId="2" applyFill="1" applyBorder="1" applyAlignment="1" applyProtection="1">
      <alignment horizontal="left" vertical="center" indent="2"/>
      <protection locked="0"/>
    </xf>
    <xf numFmtId="0" fontId="48" fillId="0" borderId="0" xfId="0" applyFont="1" applyFill="1" applyBorder="1" applyAlignment="1">
      <alignment horizontal="left" vertical="center"/>
    </xf>
    <xf numFmtId="0" fontId="48" fillId="0" borderId="27" xfId="0" applyFont="1" applyFill="1" applyBorder="1" applyAlignment="1">
      <alignment horizontal="left" vertical="center"/>
    </xf>
    <xf numFmtId="0" fontId="48" fillId="0" borderId="0" xfId="0" applyNumberFormat="1" applyFont="1" applyFill="1" applyBorder="1" applyAlignment="1">
      <alignment horizontal="left" vertical="center" wrapText="1"/>
    </xf>
    <xf numFmtId="0" fontId="48" fillId="0" borderId="27" xfId="0" applyNumberFormat="1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48" fillId="0" borderId="27" xfId="0" applyFont="1" applyFill="1" applyBorder="1" applyAlignment="1">
      <alignment horizontal="left" vertical="center" wrapText="1"/>
    </xf>
    <xf numFmtId="0" fontId="48" fillId="0" borderId="29" xfId="0" applyFont="1" applyFill="1" applyBorder="1" applyAlignment="1"/>
    <xf numFmtId="0" fontId="0" fillId="0" borderId="29" xfId="0" applyBorder="1" applyAlignment="1"/>
    <xf numFmtId="0" fontId="0" fillId="0" borderId="30" xfId="0" applyBorder="1" applyAlignment="1"/>
    <xf numFmtId="0" fontId="5" fillId="3" borderId="0" xfId="1" applyFont="1" applyFill="1" applyBorder="1" applyAlignment="1" applyProtection="1">
      <alignment horizontal="left" indent="1"/>
    </xf>
    <xf numFmtId="0" fontId="2" fillId="3" borderId="0" xfId="1" applyFont="1" applyFill="1" applyBorder="1" applyAlignment="1">
      <alignment horizontal="left" indent="1"/>
    </xf>
    <xf numFmtId="0" fontId="8" fillId="3" borderId="0" xfId="1" applyFont="1" applyFill="1" applyBorder="1" applyAlignment="1" applyProtection="1">
      <alignment horizontal="left" wrapText="1" indent="1"/>
    </xf>
    <xf numFmtId="0" fontId="38" fillId="3" borderId="0" xfId="0" applyFont="1" applyFill="1" applyBorder="1" applyAlignment="1">
      <alignment horizontal="right"/>
    </xf>
    <xf numFmtId="0" fontId="5" fillId="3" borderId="0" xfId="1" applyFont="1" applyFill="1" applyBorder="1" applyAlignment="1" applyProtection="1">
      <alignment horizontal="right"/>
    </xf>
    <xf numFmtId="0" fontId="2" fillId="3" borderId="0" xfId="1" applyFont="1" applyFill="1" applyBorder="1" applyAlignment="1">
      <alignment horizontal="right"/>
    </xf>
    <xf numFmtId="2" fontId="6" fillId="5" borderId="19" xfId="1" applyNumberFormat="1" applyFont="1" applyFill="1" applyBorder="1" applyAlignment="1" applyProtection="1">
      <alignment horizontal="right"/>
    </xf>
    <xf numFmtId="2" fontId="6" fillId="5" borderId="0" xfId="1" applyNumberFormat="1" applyFont="1" applyFill="1" applyBorder="1" applyAlignment="1" applyProtection="1">
      <alignment horizontal="right"/>
    </xf>
    <xf numFmtId="0" fontId="6" fillId="5" borderId="0" xfId="1" applyFont="1" applyFill="1" applyBorder="1" applyAlignment="1" applyProtection="1">
      <alignment horizontal="right" vertical="center"/>
    </xf>
    <xf numFmtId="0" fontId="6" fillId="5" borderId="0" xfId="1" applyFont="1" applyFill="1" applyBorder="1" applyAlignment="1" applyProtection="1">
      <alignment horizontal="left" vertical="center"/>
    </xf>
    <xf numFmtId="2" fontId="6" fillId="4" borderId="0" xfId="1" applyNumberFormat="1" applyFont="1" applyFill="1" applyAlignment="1" applyProtection="1">
      <alignment horizontal="right" vertical="top"/>
    </xf>
    <xf numFmtId="0" fontId="36" fillId="4" borderId="0" xfId="0" applyFont="1" applyFill="1" applyBorder="1" applyAlignment="1">
      <alignment horizontal="left" vertical="center" wrapText="1"/>
    </xf>
    <xf numFmtId="164" fontId="6" fillId="5" borderId="0" xfId="1" applyNumberFormat="1" applyFont="1" applyFill="1" applyBorder="1" applyAlignment="1" applyProtection="1">
      <alignment horizontal="center"/>
    </xf>
    <xf numFmtId="2" fontId="6" fillId="4" borderId="0" xfId="1" applyNumberFormat="1" applyFont="1" applyFill="1" applyAlignment="1" applyProtection="1">
      <alignment horizontal="right"/>
    </xf>
    <xf numFmtId="0" fontId="6" fillId="5" borderId="0" xfId="1" applyFont="1" applyFill="1" applyBorder="1" applyAlignment="1" applyProtection="1">
      <alignment horizontal="right"/>
    </xf>
    <xf numFmtId="3" fontId="6" fillId="5" borderId="0" xfId="1" applyNumberFormat="1" applyFont="1" applyFill="1" applyBorder="1" applyAlignment="1" applyProtection="1">
      <alignment horizontal="center"/>
    </xf>
    <xf numFmtId="164" fontId="6" fillId="4" borderId="0" xfId="1" applyNumberFormat="1" applyFont="1" applyFill="1" applyAlignment="1" applyProtection="1">
      <alignment horizontal="left"/>
    </xf>
    <xf numFmtId="164" fontId="6" fillId="4" borderId="0" xfId="1" applyNumberFormat="1" applyFont="1" applyFill="1" applyAlignment="1" applyProtection="1">
      <alignment horizontal="left" vertical="center"/>
    </xf>
    <xf numFmtId="0" fontId="4" fillId="4" borderId="0" xfId="1" applyFont="1" applyFill="1" applyBorder="1" applyAlignment="1" applyProtection="1">
      <alignment horizontal="left" indent="1"/>
    </xf>
    <xf numFmtId="3" fontId="4" fillId="4" borderId="0" xfId="1" applyNumberFormat="1" applyFont="1" applyFill="1" applyBorder="1" applyAlignment="1" applyProtection="1">
      <alignment horizontal="right"/>
    </xf>
    <xf numFmtId="3" fontId="5" fillId="4" borderId="0" xfId="1" applyNumberFormat="1" applyFont="1" applyFill="1" applyAlignment="1" applyProtection="1">
      <alignment horizontal="center"/>
    </xf>
    <xf numFmtId="0" fontId="5" fillId="4" borderId="0" xfId="1" applyFont="1" applyFill="1" applyBorder="1" applyAlignment="1" applyProtection="1">
      <alignment horizontal="left" vertical="center" wrapText="1"/>
    </xf>
    <xf numFmtId="0" fontId="2" fillId="0" borderId="0" xfId="1" applyAlignment="1">
      <alignment horizontal="left" vertical="center"/>
    </xf>
    <xf numFmtId="0" fontId="5" fillId="4" borderId="0" xfId="1" applyFont="1" applyFill="1" applyBorder="1" applyAlignment="1" applyProtection="1">
      <alignment horizontal="right"/>
    </xf>
    <xf numFmtId="0" fontId="4" fillId="4" borderId="0" xfId="1" applyFont="1" applyFill="1" applyBorder="1" applyAlignment="1" applyProtection="1">
      <alignment horizontal="right"/>
    </xf>
    <xf numFmtId="0" fontId="4" fillId="4" borderId="8" xfId="1" applyFont="1" applyFill="1" applyBorder="1" applyAlignment="1" applyProtection="1">
      <alignment horizontal="left"/>
      <protection locked="0"/>
    </xf>
    <xf numFmtId="164" fontId="6" fillId="4" borderId="0" xfId="1" applyNumberFormat="1" applyFont="1" applyFill="1" applyAlignment="1" applyProtection="1">
      <alignment horizontal="right"/>
    </xf>
    <xf numFmtId="164" fontId="6" fillId="4" borderId="0" xfId="1" applyNumberFormat="1" applyFont="1" applyFill="1" applyAlignment="1" applyProtection="1">
      <alignment horizontal="center"/>
    </xf>
    <xf numFmtId="2" fontId="6" fillId="4" borderId="0" xfId="1" applyNumberFormat="1" applyFont="1" applyFill="1" applyAlignment="1" applyProtection="1">
      <alignment horizontal="center"/>
    </xf>
    <xf numFmtId="0" fontId="4" fillId="4" borderId="0" xfId="1" applyFont="1" applyFill="1" applyAlignment="1" applyProtection="1">
      <alignment horizontal="right"/>
    </xf>
    <xf numFmtId="0" fontId="6" fillId="5" borderId="0" xfId="1" applyFont="1" applyFill="1" applyBorder="1" applyAlignment="1" applyProtection="1">
      <alignment horizontal="center" vertical="center"/>
    </xf>
    <xf numFmtId="164" fontId="6" fillId="4" borderId="0" xfId="1" applyNumberFormat="1" applyFont="1" applyFill="1" applyAlignment="1" applyProtection="1">
      <alignment horizontal="right" vertical="center" indent="1"/>
    </xf>
    <xf numFmtId="0" fontId="4" fillId="4" borderId="0" xfId="1" applyFont="1" applyFill="1" applyAlignment="1" applyProtection="1">
      <alignment horizontal="left" vertical="top" wrapText="1"/>
    </xf>
    <xf numFmtId="0" fontId="4" fillId="4" borderId="0" xfId="1" applyFont="1" applyFill="1" applyAlignment="1" applyProtection="1"/>
    <xf numFmtId="3" fontId="4" fillId="4" borderId="0" xfId="1" applyNumberFormat="1" applyFont="1" applyFill="1" applyAlignment="1" applyProtection="1">
      <alignment horizontal="right"/>
    </xf>
    <xf numFmtId="0" fontId="4" fillId="4" borderId="0" xfId="1" applyFont="1" applyFill="1" applyAlignment="1" applyProtection="1">
      <alignment horizontal="left" indent="2"/>
    </xf>
    <xf numFmtId="3" fontId="4" fillId="4" borderId="6" xfId="1" applyNumberFormat="1" applyFont="1" applyFill="1" applyBorder="1" applyAlignment="1" applyProtection="1">
      <alignment horizontal="right"/>
    </xf>
    <xf numFmtId="0" fontId="5" fillId="4" borderId="6" xfId="1" applyFont="1" applyFill="1" applyBorder="1" applyAlignment="1" applyProtection="1">
      <alignment horizontal="right"/>
    </xf>
    <xf numFmtId="3" fontId="5" fillId="4" borderId="6" xfId="1" applyNumberFormat="1" applyFont="1" applyFill="1" applyBorder="1" applyAlignment="1" applyProtection="1">
      <alignment horizontal="right"/>
    </xf>
    <xf numFmtId="3" fontId="5" fillId="4" borderId="5" xfId="1" applyNumberFormat="1" applyFont="1" applyFill="1" applyBorder="1" applyAlignment="1" applyProtection="1">
      <alignment horizontal="right"/>
    </xf>
    <xf numFmtId="4" fontId="5" fillId="3" borderId="0" xfId="1" applyNumberFormat="1" applyFont="1" applyFill="1" applyBorder="1" applyAlignment="1" applyProtection="1">
      <alignment horizontal="left" indent="1"/>
    </xf>
    <xf numFmtId="9" fontId="4" fillId="4" borderId="0" xfId="1" applyNumberFormat="1" applyFont="1" applyFill="1" applyAlignment="1" applyProtection="1">
      <alignment horizontal="right"/>
    </xf>
    <xf numFmtId="0" fontId="5" fillId="7" borderId="7" xfId="1" applyFont="1" applyFill="1" applyBorder="1" applyAlignment="1" applyProtection="1">
      <alignment horizontal="center"/>
    </xf>
    <xf numFmtId="0" fontId="5" fillId="7" borderId="8" xfId="1" applyFont="1" applyFill="1" applyBorder="1" applyAlignment="1" applyProtection="1">
      <alignment horizontal="center"/>
    </xf>
    <xf numFmtId="2" fontId="5" fillId="7" borderId="8" xfId="1" applyNumberFormat="1" applyFont="1" applyFill="1" applyBorder="1" applyAlignment="1" applyProtection="1">
      <alignment horizontal="left"/>
    </xf>
    <xf numFmtId="2" fontId="5" fillId="7" borderId="9" xfId="1" applyNumberFormat="1" applyFont="1" applyFill="1" applyBorder="1" applyAlignment="1" applyProtection="1">
      <alignment horizontal="left"/>
    </xf>
    <xf numFmtId="2" fontId="4" fillId="4" borderId="0" xfId="1" applyNumberFormat="1" applyFont="1" applyFill="1" applyBorder="1" applyAlignment="1" applyProtection="1">
      <alignment horizontal="right"/>
    </xf>
    <xf numFmtId="0" fontId="51" fillId="3" borderId="0" xfId="2" applyFill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horizontal="center"/>
      <protection locked="0"/>
    </xf>
    <xf numFmtId="0" fontId="4" fillId="4" borderId="0" xfId="1" applyFont="1" applyFill="1" applyAlignment="1" applyProtection="1">
      <alignment horizontal="right" vertical="center"/>
    </xf>
    <xf numFmtId="164" fontId="4" fillId="4" borderId="0" xfId="1" applyNumberFormat="1" applyFont="1" applyFill="1" applyAlignment="1" applyProtection="1">
      <alignment horizontal="right" vertical="center"/>
    </xf>
    <xf numFmtId="1" fontId="5" fillId="2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left"/>
    </xf>
    <xf numFmtId="0" fontId="5" fillId="4" borderId="0" xfId="1" applyFont="1" applyFill="1" applyAlignment="1" applyProtection="1">
      <alignment horizontal="right" vertical="center"/>
    </xf>
    <xf numFmtId="2" fontId="5" fillId="2" borderId="0" xfId="1" applyNumberFormat="1" applyFont="1" applyFill="1" applyBorder="1" applyAlignment="1" applyProtection="1">
      <alignment horizontal="center" vertical="center"/>
    </xf>
    <xf numFmtId="0" fontId="28" fillId="2" borderId="0" xfId="1" applyFont="1" applyFill="1" applyBorder="1" applyAlignment="1" applyProtection="1">
      <alignment horizontal="center" vertical="top"/>
    </xf>
    <xf numFmtId="164" fontId="5" fillId="2" borderId="0" xfId="1" applyNumberFormat="1" applyFont="1" applyFill="1" applyBorder="1" applyAlignment="1" applyProtection="1">
      <alignment horizontal="center"/>
    </xf>
    <xf numFmtId="2" fontId="4" fillId="4" borderId="0" xfId="1" applyNumberFormat="1" applyFont="1" applyFill="1" applyAlignment="1" applyProtection="1">
      <alignment horizontal="right" vertical="center"/>
    </xf>
    <xf numFmtId="0" fontId="4" fillId="4" borderId="0" xfId="1" applyFont="1" applyFill="1" applyAlignment="1" applyProtection="1">
      <alignment horizontal="center"/>
    </xf>
    <xf numFmtId="3" fontId="11" fillId="4" borderId="4" xfId="1" applyNumberFormat="1" applyFont="1" applyFill="1" applyBorder="1" applyAlignment="1" applyProtection="1">
      <alignment horizontal="center"/>
    </xf>
    <xf numFmtId="3" fontId="11" fillId="4" borderId="2" xfId="1" applyNumberFormat="1" applyFont="1" applyFill="1" applyBorder="1" applyAlignment="1" applyProtection="1">
      <alignment horizontal="center"/>
    </xf>
    <xf numFmtId="3" fontId="11" fillId="4" borderId="3" xfId="1" applyNumberFormat="1" applyFont="1" applyFill="1" applyBorder="1" applyAlignment="1" applyProtection="1">
      <alignment horizontal="center"/>
    </xf>
    <xf numFmtId="2" fontId="4" fillId="5" borderId="6" xfId="1" applyNumberFormat="1" applyFont="1" applyFill="1" applyBorder="1" applyAlignment="1" applyProtection="1">
      <alignment horizontal="center"/>
    </xf>
    <xf numFmtId="2" fontId="4" fillId="5" borderId="0" xfId="1" applyNumberFormat="1" applyFont="1" applyFill="1" applyBorder="1" applyAlignment="1" applyProtection="1">
      <alignment horizontal="center"/>
    </xf>
    <xf numFmtId="0" fontId="5" fillId="5" borderId="0" xfId="1" applyFont="1" applyFill="1" applyBorder="1" applyAlignment="1" applyProtection="1">
      <alignment horizontal="center"/>
    </xf>
    <xf numFmtId="2" fontId="36" fillId="6" borderId="0" xfId="0" applyNumberFormat="1" applyFont="1" applyFill="1" applyBorder="1" applyAlignment="1">
      <alignment horizontal="center"/>
    </xf>
    <xf numFmtId="2" fontId="36" fillId="6" borderId="5" xfId="0" applyNumberFormat="1" applyFont="1" applyFill="1" applyBorder="1" applyAlignment="1">
      <alignment horizontal="center"/>
    </xf>
    <xf numFmtId="0" fontId="5" fillId="5" borderId="0" xfId="1" applyFont="1" applyFill="1" applyBorder="1" applyAlignment="1" applyProtection="1">
      <alignment horizontal="center" vertical="top"/>
    </xf>
    <xf numFmtId="2" fontId="36" fillId="4" borderId="6" xfId="0" applyNumberFormat="1" applyFont="1" applyFill="1" applyBorder="1" applyAlignment="1">
      <alignment horizontal="right" vertical="center"/>
    </xf>
    <xf numFmtId="0" fontId="4" fillId="4" borderId="0" xfId="1" applyFont="1" applyFill="1" applyBorder="1" applyAlignment="1" applyProtection="1">
      <alignment horizontal="right" vertical="center"/>
    </xf>
    <xf numFmtId="164" fontId="5" fillId="4" borderId="0" xfId="1" applyNumberFormat="1" applyFont="1" applyFill="1" applyBorder="1" applyAlignment="1" applyProtection="1">
      <alignment horizontal="left" vertical="center"/>
    </xf>
    <xf numFmtId="3" fontId="4" fillId="4" borderId="0" xfId="1" applyNumberFormat="1" applyFont="1" applyFill="1" applyBorder="1" applyAlignment="1" applyProtection="1">
      <alignment horizontal="right" vertical="center"/>
    </xf>
    <xf numFmtId="2" fontId="6" fillId="4" borderId="0" xfId="1" applyNumberFormat="1" applyFont="1" applyFill="1" applyBorder="1" applyAlignment="1" applyProtection="1">
      <alignment horizontal="right"/>
    </xf>
    <xf numFmtId="2" fontId="6" fillId="4" borderId="19" xfId="1" applyNumberFormat="1" applyFont="1" applyFill="1" applyBorder="1" applyAlignment="1" applyProtection="1">
      <alignment horizontal="right"/>
    </xf>
    <xf numFmtId="0" fontId="4" fillId="4" borderId="0" xfId="1" applyFont="1" applyFill="1" applyAlignment="1" applyProtection="1">
      <alignment horizontal="right" vertical="top"/>
    </xf>
    <xf numFmtId="0" fontId="4" fillId="4" borderId="0" xfId="1" applyFont="1" applyFill="1" applyAlignment="1" applyProtection="1">
      <alignment vertical="top"/>
    </xf>
    <xf numFmtId="3" fontId="5" fillId="4" borderId="0" xfId="1" applyNumberFormat="1" applyFont="1" applyFill="1" applyBorder="1" applyAlignment="1" applyProtection="1">
      <alignment horizontal="right" vertical="center"/>
    </xf>
    <xf numFmtId="3" fontId="5" fillId="4" borderId="6" xfId="1" applyNumberFormat="1" applyFont="1" applyFill="1" applyBorder="1" applyAlignment="1" applyProtection="1">
      <alignment horizontal="right" vertical="center"/>
    </xf>
    <xf numFmtId="0" fontId="4" fillId="4" borderId="6" xfId="1" applyFont="1" applyFill="1" applyBorder="1" applyAlignment="1" applyProtection="1">
      <alignment horizontal="left" vertical="center"/>
    </xf>
    <xf numFmtId="9" fontId="4" fillId="4" borderId="0" xfId="1" applyNumberFormat="1" applyFont="1" applyFill="1" applyAlignment="1" applyProtection="1">
      <alignment horizontal="center" vertical="center"/>
    </xf>
    <xf numFmtId="0" fontId="36" fillId="4" borderId="6" xfId="0" applyFont="1" applyFill="1" applyBorder="1" applyAlignment="1">
      <alignment horizontal="right" vertical="center"/>
    </xf>
    <xf numFmtId="2" fontId="4" fillId="4" borderId="0" xfId="1" applyNumberFormat="1" applyFont="1" applyFill="1" applyBorder="1" applyAlignment="1" applyProtection="1">
      <alignment horizontal="right" vertical="center"/>
    </xf>
    <xf numFmtId="0" fontId="5" fillId="3" borderId="7" xfId="1" applyFont="1" applyFill="1" applyBorder="1" applyAlignment="1" applyProtection="1">
      <alignment horizontal="center" vertical="center"/>
    </xf>
    <xf numFmtId="0" fontId="5" fillId="3" borderId="8" xfId="1" applyFont="1" applyFill="1" applyBorder="1" applyAlignment="1" applyProtection="1">
      <alignment horizontal="center" vertical="center"/>
    </xf>
    <xf numFmtId="165" fontId="5" fillId="3" borderId="8" xfId="1" applyNumberFormat="1" applyFont="1" applyFill="1" applyBorder="1" applyAlignment="1" applyProtection="1">
      <alignment horizontal="left" vertical="center"/>
    </xf>
    <xf numFmtId="165" fontId="5" fillId="3" borderId="9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 wrapText="1"/>
    </xf>
    <xf numFmtId="0" fontId="2" fillId="4" borderId="0" xfId="1" applyFill="1" applyAlignment="1">
      <alignment horizontal="left" vertical="center"/>
    </xf>
    <xf numFmtId="0" fontId="5" fillId="3" borderId="0" xfId="1" applyFont="1" applyFill="1" applyBorder="1" applyAlignment="1" applyProtection="1">
      <alignment horizontal="left" vertical="top" indent="1"/>
    </xf>
    <xf numFmtId="3" fontId="4" fillId="4" borderId="0" xfId="1" applyNumberFormat="1" applyFont="1" applyFill="1" applyAlignment="1" applyProtection="1">
      <alignment horizontal="right" vertical="center"/>
    </xf>
    <xf numFmtId="0" fontId="4" fillId="4" borderId="0" xfId="1" applyFont="1" applyFill="1" applyAlignment="1" applyProtection="1">
      <alignment vertical="center"/>
    </xf>
    <xf numFmtId="0" fontId="36" fillId="4" borderId="0" xfId="0" applyFont="1" applyFill="1" applyAlignment="1">
      <alignment vertical="center"/>
    </xf>
    <xf numFmtId="0" fontId="28" fillId="4" borderId="0" xfId="1" applyFont="1" applyFill="1" applyBorder="1" applyAlignment="1" applyProtection="1">
      <alignment horizontal="center" vertical="top"/>
    </xf>
    <xf numFmtId="1" fontId="5" fillId="4" borderId="0" xfId="1" applyNumberFormat="1" applyFont="1" applyFill="1" applyBorder="1" applyAlignment="1" applyProtection="1">
      <alignment horizontal="center"/>
    </xf>
    <xf numFmtId="2" fontId="5" fillId="4" borderId="0" xfId="1" applyNumberFormat="1" applyFont="1" applyFill="1" applyBorder="1" applyAlignment="1" applyProtection="1">
      <alignment horizontal="center" vertical="center"/>
    </xf>
    <xf numFmtId="0" fontId="4" fillId="4" borderId="0" xfId="1" applyFont="1" applyFill="1" applyAlignment="1" applyProtection="1">
      <alignment horizontal="left" vertical="center"/>
    </xf>
    <xf numFmtId="2" fontId="5" fillId="5" borderId="0" xfId="1" applyNumberFormat="1" applyFont="1" applyFill="1" applyBorder="1" applyAlignment="1" applyProtection="1">
      <alignment horizontal="right" vertical="top"/>
    </xf>
    <xf numFmtId="0" fontId="5" fillId="4" borderId="17" xfId="1" applyFont="1" applyFill="1" applyBorder="1" applyAlignment="1" applyProtection="1">
      <alignment horizontal="center" vertical="center"/>
    </xf>
    <xf numFmtId="0" fontId="5" fillId="4" borderId="0" xfId="1" applyFont="1" applyFill="1" applyAlignment="1" applyProtection="1">
      <alignment horizontal="center" vertical="center"/>
    </xf>
    <xf numFmtId="0" fontId="5" fillId="4" borderId="17" xfId="1" applyFont="1" applyFill="1" applyBorder="1" applyAlignment="1" applyProtection="1">
      <alignment horizontal="right" vertical="center"/>
    </xf>
    <xf numFmtId="2" fontId="36" fillId="6" borderId="6" xfId="0" applyNumberFormat="1" applyFont="1" applyFill="1" applyBorder="1" applyAlignment="1">
      <alignment horizontal="right"/>
    </xf>
    <xf numFmtId="2" fontId="4" fillId="5" borderId="0" xfId="1" applyNumberFormat="1" applyFont="1" applyFill="1" applyBorder="1" applyAlignment="1" applyProtection="1">
      <alignment horizontal="right"/>
    </xf>
    <xf numFmtId="164" fontId="5" fillId="4" borderId="0" xfId="1" applyNumberFormat="1" applyFont="1" applyFill="1" applyBorder="1" applyAlignment="1" applyProtection="1">
      <alignment horizontal="center" vertical="center"/>
    </xf>
    <xf numFmtId="2" fontId="36" fillId="4" borderId="0" xfId="0" applyNumberFormat="1" applyFont="1" applyFill="1" applyAlignment="1">
      <alignment horizontal="right" vertical="center"/>
    </xf>
    <xf numFmtId="0" fontId="36" fillId="4" borderId="0" xfId="0" applyFont="1" applyFill="1" applyAlignment="1">
      <alignment horizontal="right" vertical="center"/>
    </xf>
    <xf numFmtId="0" fontId="4" fillId="4" borderId="6" xfId="1" applyFont="1" applyFill="1" applyBorder="1" applyAlignment="1" applyProtection="1">
      <alignment vertical="center"/>
    </xf>
    <xf numFmtId="3" fontId="4" fillId="4" borderId="0" xfId="1" applyNumberFormat="1" applyFont="1" applyFill="1" applyAlignment="1" applyProtection="1">
      <alignment horizontal="right" vertical="top"/>
    </xf>
    <xf numFmtId="0" fontId="4" fillId="4" borderId="0" xfId="1" applyFont="1" applyFill="1" applyAlignment="1" applyProtection="1">
      <alignment horizontal="center" vertical="center"/>
    </xf>
    <xf numFmtId="2" fontId="11" fillId="4" borderId="0" xfId="1" applyNumberFormat="1" applyFont="1" applyFill="1" applyAlignment="1" applyProtection="1">
      <alignment horizontal="right" vertical="top"/>
    </xf>
    <xf numFmtId="2" fontId="11" fillId="4" borderId="0" xfId="1" applyNumberFormat="1" applyFont="1" applyFill="1" applyAlignment="1" applyProtection="1">
      <alignment horizontal="right"/>
    </xf>
    <xf numFmtId="2" fontId="11" fillId="4" borderId="0" xfId="1" applyNumberFormat="1" applyFont="1" applyFill="1" applyBorder="1" applyAlignment="1" applyProtection="1">
      <alignment horizontal="right"/>
    </xf>
    <xf numFmtId="2" fontId="11" fillId="4" borderId="19" xfId="1" applyNumberFormat="1" applyFont="1" applyFill="1" applyBorder="1" applyAlignment="1" applyProtection="1">
      <alignment horizontal="right"/>
    </xf>
    <xf numFmtId="0" fontId="38" fillId="3" borderId="0" xfId="0" applyFont="1" applyFill="1" applyBorder="1" applyAlignment="1">
      <alignment horizontal="left" wrapText="1" indent="1"/>
    </xf>
    <xf numFmtId="0" fontId="5" fillId="3" borderId="0" xfId="1" applyFont="1" applyFill="1" applyBorder="1" applyAlignment="1" applyProtection="1">
      <alignment horizontal="left" indent="2"/>
    </xf>
    <xf numFmtId="2" fontId="36" fillId="6" borderId="0" xfId="0" applyNumberFormat="1" applyFont="1" applyFill="1" applyBorder="1" applyAlignment="1">
      <alignment horizontal="center" vertical="center"/>
    </xf>
    <xf numFmtId="0" fontId="6" fillId="5" borderId="0" xfId="1" applyFont="1" applyFill="1" applyBorder="1" applyAlignment="1" applyProtection="1">
      <alignment horizontal="left"/>
    </xf>
    <xf numFmtId="0" fontId="6" fillId="5" borderId="0" xfId="1" applyFont="1" applyFill="1" applyBorder="1" applyAlignment="1" applyProtection="1"/>
    <xf numFmtId="0" fontId="38" fillId="4" borderId="24" xfId="0" applyFont="1" applyFill="1" applyBorder="1" applyAlignment="1">
      <alignment horizontal="center" vertical="center"/>
    </xf>
    <xf numFmtId="0" fontId="38" fillId="4" borderId="25" xfId="0" applyFont="1" applyFill="1" applyBorder="1" applyAlignment="1">
      <alignment horizontal="center" vertical="center"/>
    </xf>
    <xf numFmtId="0" fontId="38" fillId="4" borderId="26" xfId="0" applyFont="1" applyFill="1" applyBorder="1" applyAlignment="1">
      <alignment horizontal="center" vertical="center"/>
    </xf>
    <xf numFmtId="0" fontId="38" fillId="4" borderId="38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39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right"/>
    </xf>
    <xf numFmtId="0" fontId="36" fillId="8" borderId="7" xfId="0" applyFont="1" applyFill="1" applyBorder="1" applyAlignment="1" applyProtection="1">
      <alignment horizontal="center"/>
      <protection locked="0"/>
    </xf>
    <xf numFmtId="0" fontId="36" fillId="8" borderId="8" xfId="0" applyFont="1" applyFill="1" applyBorder="1" applyAlignment="1" applyProtection="1">
      <alignment horizontal="center"/>
      <protection locked="0"/>
    </xf>
    <xf numFmtId="0" fontId="36" fillId="8" borderId="9" xfId="0" applyFont="1" applyFill="1" applyBorder="1" applyAlignment="1" applyProtection="1">
      <alignment horizontal="center"/>
      <protection locked="0"/>
    </xf>
    <xf numFmtId="0" fontId="32" fillId="4" borderId="7" xfId="0" applyFont="1" applyFill="1" applyBorder="1" applyAlignment="1" applyProtection="1">
      <alignment horizontal="left" indent="2"/>
    </xf>
    <xf numFmtId="0" fontId="32" fillId="4" borderId="9" xfId="0" applyFont="1" applyFill="1" applyBorder="1" applyAlignment="1" applyProtection="1">
      <alignment horizontal="left" indent="2"/>
    </xf>
    <xf numFmtId="0" fontId="52" fillId="4" borderId="64" xfId="0" applyFont="1" applyFill="1" applyBorder="1" applyAlignment="1">
      <alignment horizontal="center" vertical="top" textRotation="180" wrapText="1"/>
    </xf>
    <xf numFmtId="0" fontId="52" fillId="4" borderId="0" xfId="0" applyFont="1" applyFill="1" applyBorder="1" applyAlignment="1">
      <alignment horizontal="center" vertical="top" textRotation="180" wrapText="1"/>
    </xf>
    <xf numFmtId="0" fontId="52" fillId="3" borderId="64" xfId="0" applyFont="1" applyFill="1" applyBorder="1" applyAlignment="1">
      <alignment horizontal="center" vertical="top" textRotation="180" wrapText="1"/>
    </xf>
    <xf numFmtId="0" fontId="52" fillId="3" borderId="0" xfId="0" applyFont="1" applyFill="1" applyBorder="1" applyAlignment="1">
      <alignment horizontal="center" vertical="top" textRotation="180" wrapText="1"/>
    </xf>
    <xf numFmtId="0" fontId="54" fillId="4" borderId="64" xfId="0" applyFont="1" applyFill="1" applyBorder="1" applyAlignment="1">
      <alignment horizontal="center" vertical="center" textRotation="180" wrapText="1"/>
    </xf>
    <xf numFmtId="0" fontId="54" fillId="4" borderId="0" xfId="0" applyFont="1" applyFill="1" applyBorder="1" applyAlignment="1">
      <alignment horizontal="center" vertical="center" textRotation="180" wrapText="1"/>
    </xf>
    <xf numFmtId="0" fontId="54" fillId="4" borderId="63" xfId="0" applyFont="1" applyFill="1" applyBorder="1" applyAlignment="1">
      <alignment horizontal="center" vertical="center" textRotation="180" wrapText="1"/>
    </xf>
    <xf numFmtId="0" fontId="52" fillId="3" borderId="25" xfId="0" applyFont="1" applyFill="1" applyBorder="1" applyAlignment="1">
      <alignment horizontal="center" vertical="center" textRotation="180"/>
    </xf>
    <xf numFmtId="0" fontId="52" fillId="3" borderId="0" xfId="0" applyFont="1" applyFill="1" applyBorder="1" applyAlignment="1">
      <alignment horizontal="center" vertical="center" textRotation="180"/>
    </xf>
    <xf numFmtId="0" fontId="52" fillId="3" borderId="29" xfId="0" applyFont="1" applyFill="1" applyBorder="1" applyAlignment="1">
      <alignment horizontal="center" vertical="center" textRotation="180"/>
    </xf>
    <xf numFmtId="0" fontId="52" fillId="4" borderId="24" xfId="0" applyFont="1" applyFill="1" applyBorder="1" applyAlignment="1">
      <alignment horizontal="center" vertical="center" textRotation="180"/>
    </xf>
    <xf numFmtId="0" fontId="52" fillId="4" borderId="1" xfId="0" applyFont="1" applyFill="1" applyBorder="1" applyAlignment="1">
      <alignment horizontal="center" vertical="center" textRotation="180"/>
    </xf>
    <xf numFmtId="0" fontId="52" fillId="4" borderId="43" xfId="0" applyFont="1" applyFill="1" applyBorder="1" applyAlignment="1">
      <alignment horizontal="center" vertical="center" textRotation="180"/>
    </xf>
    <xf numFmtId="0" fontId="38" fillId="4" borderId="64" xfId="0" applyFont="1" applyFill="1" applyBorder="1" applyAlignment="1">
      <alignment horizontal="center" textRotation="180"/>
    </xf>
    <xf numFmtId="0" fontId="38" fillId="4" borderId="0" xfId="0" applyFont="1" applyFill="1" applyBorder="1" applyAlignment="1">
      <alignment horizontal="center" textRotation="180"/>
    </xf>
    <xf numFmtId="0" fontId="38" fillId="4" borderId="63" xfId="0" applyFont="1" applyFill="1" applyBorder="1" applyAlignment="1">
      <alignment horizontal="center" textRotation="180"/>
    </xf>
    <xf numFmtId="0" fontId="54" fillId="3" borderId="64" xfId="0" applyFont="1" applyFill="1" applyBorder="1" applyAlignment="1">
      <alignment horizontal="center" vertical="center" textRotation="180" wrapText="1"/>
    </xf>
    <xf numFmtId="0" fontId="54" fillId="3" borderId="0" xfId="0" applyFont="1" applyFill="1" applyBorder="1" applyAlignment="1">
      <alignment horizontal="center" vertical="center" textRotation="180" wrapText="1"/>
    </xf>
    <xf numFmtId="0" fontId="54" fillId="3" borderId="63" xfId="0" applyFont="1" applyFill="1" applyBorder="1" applyAlignment="1">
      <alignment horizontal="center" vertical="center" textRotation="180" wrapText="1"/>
    </xf>
    <xf numFmtId="0" fontId="52" fillId="3" borderId="63" xfId="0" applyFont="1" applyFill="1" applyBorder="1" applyAlignment="1">
      <alignment horizontal="center" vertical="top" textRotation="180" wrapText="1"/>
    </xf>
    <xf numFmtId="0" fontId="52" fillId="4" borderId="63" xfId="0" applyFont="1" applyFill="1" applyBorder="1" applyAlignment="1">
      <alignment horizontal="center" vertical="top" textRotation="180" wrapText="1"/>
    </xf>
    <xf numFmtId="0" fontId="32" fillId="3" borderId="25" xfId="0" applyFont="1" applyFill="1" applyBorder="1" applyAlignment="1">
      <alignment horizontal="center"/>
    </xf>
    <xf numFmtId="0" fontId="32" fillId="3" borderId="26" xfId="0" applyFont="1" applyFill="1" applyBorder="1" applyAlignment="1">
      <alignment horizontal="center"/>
    </xf>
    <xf numFmtId="0" fontId="32" fillId="3" borderId="24" xfId="0" applyFont="1" applyFill="1" applyBorder="1" applyAlignment="1">
      <alignment horizontal="center"/>
    </xf>
    <xf numFmtId="0" fontId="32" fillId="3" borderId="32" xfId="0" applyFont="1" applyFill="1" applyBorder="1" applyAlignment="1">
      <alignment horizontal="center" vertical="center"/>
    </xf>
    <xf numFmtId="0" fontId="32" fillId="3" borderId="31" xfId="0" applyFont="1" applyFill="1" applyBorder="1" applyAlignment="1">
      <alignment horizontal="center" vertical="center"/>
    </xf>
    <xf numFmtId="0" fontId="32" fillId="3" borderId="29" xfId="0" applyFont="1" applyFill="1" applyBorder="1" applyAlignment="1">
      <alignment horizontal="center"/>
    </xf>
    <xf numFmtId="0" fontId="32" fillId="3" borderId="30" xfId="0" applyFont="1" applyFill="1" applyBorder="1" applyAlignment="1">
      <alignment horizontal="center"/>
    </xf>
    <xf numFmtId="3" fontId="38" fillId="3" borderId="7" xfId="0" applyNumberFormat="1" applyFont="1" applyFill="1" applyBorder="1" applyAlignment="1" applyProtection="1">
      <alignment horizontal="center"/>
      <protection locked="0"/>
    </xf>
    <xf numFmtId="3" fontId="38" fillId="3" borderId="8" xfId="0" applyNumberFormat="1" applyFont="1" applyFill="1" applyBorder="1" applyAlignment="1" applyProtection="1">
      <alignment horizontal="center"/>
      <protection locked="0"/>
    </xf>
    <xf numFmtId="3" fontId="38" fillId="3" borderId="9" xfId="0" applyNumberFormat="1" applyFont="1" applyFill="1" applyBorder="1" applyAlignment="1" applyProtection="1">
      <alignment horizontal="center"/>
      <protection locked="0"/>
    </xf>
    <xf numFmtId="4" fontId="38" fillId="4" borderId="0" xfId="0" applyNumberFormat="1" applyFont="1" applyFill="1" applyAlignment="1">
      <alignment horizontal="right"/>
    </xf>
    <xf numFmtId="4" fontId="38" fillId="4" borderId="0" xfId="0" applyNumberFormat="1" applyFont="1" applyFill="1" applyAlignment="1">
      <alignment horizontal="center"/>
    </xf>
    <xf numFmtId="164" fontId="38" fillId="3" borderId="7" xfId="0" applyNumberFormat="1" applyFont="1" applyFill="1" applyBorder="1" applyAlignment="1" applyProtection="1">
      <alignment horizontal="right"/>
      <protection locked="0"/>
    </xf>
    <xf numFmtId="164" fontId="38" fillId="3" borderId="9" xfId="0" applyNumberFormat="1" applyFont="1" applyFill="1" applyBorder="1" applyAlignment="1" applyProtection="1">
      <alignment horizontal="right"/>
      <protection locked="0"/>
    </xf>
    <xf numFmtId="2" fontId="38" fillId="4" borderId="0" xfId="0" applyNumberFormat="1" applyFont="1" applyFill="1" applyAlignment="1">
      <alignment horizontal="right"/>
    </xf>
    <xf numFmtId="2" fontId="38" fillId="3" borderId="7" xfId="0" applyNumberFormat="1" applyFont="1" applyFill="1" applyBorder="1" applyAlignment="1" applyProtection="1">
      <alignment horizontal="right"/>
      <protection locked="0"/>
    </xf>
    <xf numFmtId="2" fontId="38" fillId="3" borderId="8" xfId="0" applyNumberFormat="1" applyFont="1" applyFill="1" applyBorder="1" applyAlignment="1" applyProtection="1">
      <alignment horizontal="right"/>
      <protection locked="0"/>
    </xf>
    <xf numFmtId="2" fontId="38" fillId="3" borderId="9" xfId="0" applyNumberFormat="1" applyFont="1" applyFill="1" applyBorder="1" applyAlignment="1" applyProtection="1">
      <alignment horizontal="right"/>
      <protection locked="0"/>
    </xf>
    <xf numFmtId="164" fontId="38" fillId="4" borderId="0" xfId="0" applyNumberFormat="1" applyFont="1" applyFill="1" applyAlignment="1">
      <alignment horizontal="right"/>
    </xf>
    <xf numFmtId="2" fontId="38" fillId="4" borderId="6" xfId="0" applyNumberFormat="1" applyFont="1" applyFill="1" applyBorder="1" applyAlignment="1">
      <alignment horizontal="right"/>
    </xf>
    <xf numFmtId="4" fontId="38" fillId="3" borderId="7" xfId="0" applyNumberFormat="1" applyFont="1" applyFill="1" applyBorder="1" applyAlignment="1" applyProtection="1">
      <alignment horizontal="right"/>
      <protection locked="0"/>
    </xf>
    <xf numFmtId="4" fontId="38" fillId="3" borderId="8" xfId="0" applyNumberFormat="1" applyFont="1" applyFill="1" applyBorder="1" applyAlignment="1" applyProtection="1">
      <alignment horizontal="right"/>
      <protection locked="0"/>
    </xf>
    <xf numFmtId="4" fontId="38" fillId="3" borderId="9" xfId="0" applyNumberFormat="1" applyFont="1" applyFill="1" applyBorder="1" applyAlignment="1" applyProtection="1">
      <alignment horizontal="right"/>
      <protection locked="0"/>
    </xf>
    <xf numFmtId="164" fontId="38" fillId="4" borderId="0" xfId="0" applyNumberFormat="1" applyFont="1" applyFill="1" applyAlignment="1">
      <alignment horizontal="center"/>
    </xf>
    <xf numFmtId="2" fontId="38" fillId="4" borderId="5" xfId="0" applyNumberFormat="1" applyFont="1" applyFill="1" applyBorder="1" applyAlignment="1">
      <alignment horizontal="right"/>
    </xf>
    <xf numFmtId="0" fontId="38" fillId="4" borderId="0" xfId="0" applyFont="1" applyFill="1" applyAlignment="1">
      <alignment horizontal="center"/>
    </xf>
    <xf numFmtId="0" fontId="38" fillId="4" borderId="0" xfId="0" applyFont="1" applyFill="1" applyAlignment="1">
      <alignment horizontal="right"/>
    </xf>
    <xf numFmtId="1" fontId="38" fillId="3" borderId="7" xfId="0" applyNumberFormat="1" applyFont="1" applyFill="1" applyBorder="1" applyAlignment="1" applyProtection="1">
      <alignment horizontal="center"/>
      <protection locked="0"/>
    </xf>
    <xf numFmtId="1" fontId="38" fillId="3" borderId="8" xfId="0" applyNumberFormat="1" applyFont="1" applyFill="1" applyBorder="1" applyAlignment="1" applyProtection="1">
      <alignment horizontal="center"/>
      <protection locked="0"/>
    </xf>
    <xf numFmtId="1" fontId="38" fillId="3" borderId="9" xfId="0" applyNumberFormat="1" applyFont="1" applyFill="1" applyBorder="1" applyAlignment="1" applyProtection="1">
      <alignment horizontal="center"/>
      <protection locked="0"/>
    </xf>
    <xf numFmtId="0" fontId="53" fillId="4" borderId="0" xfId="0" applyFont="1" applyFill="1" applyAlignment="1">
      <alignment horizontal="right"/>
    </xf>
    <xf numFmtId="2" fontId="53" fillId="4" borderId="0" xfId="0" applyNumberFormat="1" applyFont="1" applyFill="1" applyAlignment="1">
      <alignment horizontal="center"/>
    </xf>
    <xf numFmtId="0" fontId="32" fillId="4" borderId="12" xfId="0" applyFont="1" applyFill="1" applyBorder="1" applyAlignment="1" applyProtection="1">
      <alignment horizontal="left"/>
      <protection locked="0"/>
    </xf>
    <xf numFmtId="0" fontId="32" fillId="4" borderId="6" xfId="0" applyFont="1" applyFill="1" applyBorder="1" applyAlignment="1" applyProtection="1">
      <alignment horizontal="left"/>
      <protection locked="0"/>
    </xf>
    <xf numFmtId="0" fontId="32" fillId="4" borderId="13" xfId="0" applyFont="1" applyFill="1" applyBorder="1" applyAlignment="1" applyProtection="1">
      <alignment horizontal="left"/>
      <protection locked="0"/>
    </xf>
    <xf numFmtId="0" fontId="32" fillId="4" borderId="15" xfId="0" applyFont="1" applyFill="1" applyBorder="1" applyAlignment="1" applyProtection="1">
      <alignment horizontal="left"/>
      <protection locked="0"/>
    </xf>
    <xf numFmtId="0" fontId="32" fillId="4" borderId="5" xfId="0" applyFont="1" applyFill="1" applyBorder="1" applyAlignment="1" applyProtection="1">
      <alignment horizontal="left"/>
      <protection locked="0"/>
    </xf>
    <xf numFmtId="0" fontId="32" fillId="4" borderId="1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27" fillId="0" borderId="0" xfId="1" applyFont="1" applyFill="1" applyAlignment="1">
      <alignment horizontal="center"/>
    </xf>
    <xf numFmtId="0" fontId="27" fillId="0" borderId="0" xfId="1" applyFont="1" applyFill="1" applyAlignment="1">
      <alignment horizontal="left"/>
    </xf>
    <xf numFmtId="0" fontId="32" fillId="0" borderId="24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4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32" fillId="3" borderId="0" xfId="0" applyNumberFormat="1" applyFont="1" applyFill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indent="1"/>
    </xf>
    <xf numFmtId="164" fontId="0" fillId="0" borderId="0" xfId="0" applyNumberFormat="1" applyBorder="1" applyAlignment="1">
      <alignment horizontal="right"/>
    </xf>
    <xf numFmtId="0" fontId="64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71" fillId="0" borderId="0" xfId="0" applyFont="1" applyAlignment="1">
      <alignment horizontal="right"/>
    </xf>
    <xf numFmtId="2" fontId="71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71" fillId="0" borderId="0" xfId="0" applyFont="1" applyBorder="1" applyAlignment="1">
      <alignment horizontal="center"/>
    </xf>
    <xf numFmtId="0" fontId="32" fillId="0" borderId="4" xfId="0" applyFont="1" applyFill="1" applyBorder="1" applyAlignment="1">
      <alignment horizontal="left"/>
    </xf>
    <xf numFmtId="0" fontId="32" fillId="0" borderId="3" xfId="0" applyFont="1" applyFill="1" applyBorder="1" applyAlignment="1">
      <alignment horizontal="left"/>
    </xf>
    <xf numFmtId="164" fontId="0" fillId="0" borderId="25" xfId="0" applyNumberFormat="1" applyBorder="1" applyAlignment="1">
      <alignment horizontal="left" vertical="center"/>
    </xf>
    <xf numFmtId="164" fontId="32" fillId="3" borderId="2" xfId="0" applyNumberFormat="1" applyFont="1" applyFill="1" applyBorder="1" applyAlignment="1">
      <alignment horizontal="left"/>
    </xf>
    <xf numFmtId="164" fontId="32" fillId="3" borderId="3" xfId="0" applyNumberFormat="1" applyFont="1" applyFill="1" applyBorder="1" applyAlignment="1">
      <alignment horizontal="left"/>
    </xf>
    <xf numFmtId="0" fontId="0" fillId="0" borderId="0" xfId="0" quotePrefix="1" applyBorder="1" applyAlignment="1">
      <alignment horizontal="left" vertical="center"/>
    </xf>
    <xf numFmtId="0" fontId="63" fillId="0" borderId="29" xfId="0" applyFont="1" applyBorder="1" applyAlignment="1">
      <alignment horizontal="left"/>
    </xf>
    <xf numFmtId="165" fontId="0" fillId="0" borderId="25" xfId="0" applyNumberFormat="1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5" xfId="0" applyBorder="1" applyAlignment="1">
      <alignment horizontal="left" indent="1"/>
    </xf>
    <xf numFmtId="2" fontId="0" fillId="0" borderId="25" xfId="0" applyNumberFormat="1" applyBorder="1" applyAlignment="1">
      <alignment horizontal="right"/>
    </xf>
    <xf numFmtId="0" fontId="71" fillId="0" borderId="0" xfId="0" applyFont="1" applyBorder="1" applyAlignment="1">
      <alignment horizontal="left"/>
    </xf>
    <xf numFmtId="0" fontId="63" fillId="0" borderId="29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68" fillId="0" borderId="0" xfId="0" applyFont="1" applyAlignment="1">
      <alignment horizontal="right"/>
    </xf>
    <xf numFmtId="164" fontId="68" fillId="0" borderId="0" xfId="0" applyNumberFormat="1" applyFont="1" applyAlignment="1">
      <alignment horizontal="left"/>
    </xf>
    <xf numFmtId="0" fontId="64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4" dropStyle="combo" dx="16" fmlaLink="C5" fmlaRange="Data!$C$4:$C$7" noThreeD="1" sel="4" val="0"/>
</file>

<file path=xl/ctrlProps/ctrlProp10.xml><?xml version="1.0" encoding="utf-8"?>
<formControlPr xmlns="http://schemas.microsoft.com/office/spreadsheetml/2009/9/main" objectType="Drop" dropLines="4" dropStyle="combo" dx="16" fmlaLink="C5" fmlaRange="Data!$C$4:$C$7" noThreeD="1" sel="4" val="0"/>
</file>

<file path=xl/ctrlProps/ctrlProp11.xml><?xml version="1.0" encoding="utf-8"?>
<formControlPr xmlns="http://schemas.microsoft.com/office/spreadsheetml/2009/9/main" objectType="Drop" dropLines="12" dropStyle="combo" dx="16" fmlaLink="C8" fmlaRange="Data!$A$1:$A$100" noThreeD="1" sel="2" val="0"/>
</file>

<file path=xl/ctrlProps/ctrlProp12.xml><?xml version="1.0" encoding="utf-8"?>
<formControlPr xmlns="http://schemas.microsoft.com/office/spreadsheetml/2009/9/main" objectType="Drop" dropLines="2" dropStyle="combo" dx="16" fmlaLink="C21" fmlaRange="Data!$B$10:$C$11" noThreeD="1" sel="1" val="0"/>
</file>

<file path=xl/ctrlProps/ctrlProp13.xml><?xml version="1.0" encoding="utf-8"?>
<formControlPr xmlns="http://schemas.microsoft.com/office/spreadsheetml/2009/9/main" objectType="Drop" dropLines="12" dropStyle="combo" dx="16" fmlaLink="C13" fmlaRange="Data!$E$106:$E$134" noThreeD="1" sel="6" val="0"/>
</file>

<file path=xl/ctrlProps/ctrlProp14.xml><?xml version="1.0" encoding="utf-8"?>
<formControlPr xmlns="http://schemas.microsoft.com/office/spreadsheetml/2009/9/main" objectType="Drop" dropLines="12" dropStyle="combo" dx="16" fmlaLink="C15" fmlaRange="Data!$E$13:$E$85" noThreeD="1" sel="1" val="46"/>
</file>

<file path=xl/ctrlProps/ctrlProp15.xml><?xml version="1.0" encoding="utf-8"?>
<formControlPr xmlns="http://schemas.microsoft.com/office/spreadsheetml/2009/9/main" objectType="Drop" dropLines="12" dropStyle="combo" dx="16" fmlaLink="C17" fmlaRange="Data!$R$13:$R$90" noThreeD="1" sel="18" val="6"/>
</file>

<file path=xl/ctrlProps/ctrlProp16.xml><?xml version="1.0" encoding="utf-8"?>
<formControlPr xmlns="http://schemas.microsoft.com/office/spreadsheetml/2009/9/main" objectType="Drop" dropLines="12" dropStyle="combo" dx="16" fmlaLink="C19" fmlaRange="Data!$R$106:$R$190" noThreeD="1" sel="42" val="41"/>
</file>

<file path=xl/ctrlProps/ctrlProp17.xml><?xml version="1.0" encoding="utf-8"?>
<formControlPr xmlns="http://schemas.microsoft.com/office/spreadsheetml/2009/9/main" objectType="Drop" dropLines="4" dropStyle="combo" dx="16" fmlaLink="C5" fmlaRange="Data!$C$4:$C$7" noThreeD="1" sel="4" val="0"/>
</file>

<file path=xl/ctrlProps/ctrlProp18.xml><?xml version="1.0" encoding="utf-8"?>
<formControlPr xmlns="http://schemas.microsoft.com/office/spreadsheetml/2009/9/main" objectType="Drop" dropLines="12" dropStyle="combo" dx="16" fmlaLink="C8" fmlaRange="Data!$A$1:$A$100" noThreeD="1" sel="10" val="9"/>
</file>

<file path=xl/ctrlProps/ctrlProp19.xml><?xml version="1.0" encoding="utf-8"?>
<formControlPr xmlns="http://schemas.microsoft.com/office/spreadsheetml/2009/9/main" objectType="Drop" dropLines="2" dropStyle="combo" dx="16" fmlaLink="C23" fmlaRange="Data!$B$10:$C$11" noThreeD="1" sel="2" val="0"/>
</file>

<file path=xl/ctrlProps/ctrlProp2.xml><?xml version="1.0" encoding="utf-8"?>
<formControlPr xmlns="http://schemas.microsoft.com/office/spreadsheetml/2009/9/main" objectType="Drop" dropLines="12" dropStyle="combo" dx="16" fmlaLink="C8" fmlaRange="Data!$A$1:$A$100" noThreeD="1" sel="10" val="7"/>
</file>

<file path=xl/ctrlProps/ctrlProp20.xml><?xml version="1.0" encoding="utf-8"?>
<formControlPr xmlns="http://schemas.microsoft.com/office/spreadsheetml/2009/9/main" objectType="Drop" dropLines="12" dropStyle="combo" dx="16" fmlaLink="C13" fmlaRange="Data!$AE$1:$AE$100" noThreeD="1" sel="6" val="5"/>
</file>

<file path=xl/ctrlProps/ctrlProp21.xml><?xml version="1.0" encoding="utf-8"?>
<formControlPr xmlns="http://schemas.microsoft.com/office/spreadsheetml/2009/9/main" objectType="Drop" dropLines="12" dropStyle="combo" dx="16" fmlaLink="C15" fmlaRange="Data!$E$106:$E$134" noThreeD="1" sel="6" val="0"/>
</file>

<file path=xl/ctrlProps/ctrlProp22.xml><?xml version="1.0" encoding="utf-8"?>
<formControlPr xmlns="http://schemas.microsoft.com/office/spreadsheetml/2009/9/main" objectType="Drop" dropLines="12" dropStyle="combo" dx="16" fmlaLink="C17" fmlaRange="Data!$E$13:$E$85" noThreeD="1" sel="1" val="0"/>
</file>

<file path=xl/ctrlProps/ctrlProp23.xml><?xml version="1.0" encoding="utf-8"?>
<formControlPr xmlns="http://schemas.microsoft.com/office/spreadsheetml/2009/9/main" objectType="Drop" dropLines="12" dropStyle="combo" dx="16" fmlaLink="C19" fmlaRange="Data!$R$13:$R$90" noThreeD="1" sel="2" val="0"/>
</file>

<file path=xl/ctrlProps/ctrlProp24.xml><?xml version="1.0" encoding="utf-8"?>
<formControlPr xmlns="http://schemas.microsoft.com/office/spreadsheetml/2009/9/main" objectType="Drop" dropLines="12" dropStyle="combo" dx="16" fmlaLink="C21" fmlaRange="Data!$R$106:$R$190" noThreeD="1" sel="72" val="62"/>
</file>

<file path=xl/ctrlProps/ctrlProp25.xml><?xml version="1.0" encoding="utf-8"?>
<formControlPr xmlns="http://schemas.microsoft.com/office/spreadsheetml/2009/9/main" objectType="Drop" dropLines="4" dropStyle="combo" dx="16" fmlaLink="C5" fmlaRange="Data!$C$4:$C$7" noThreeD="1" sel="4" val="0"/>
</file>

<file path=xl/ctrlProps/ctrlProp26.xml><?xml version="1.0" encoding="utf-8"?>
<formControlPr xmlns="http://schemas.microsoft.com/office/spreadsheetml/2009/9/main" objectType="Drop" dropLines="12" dropStyle="combo" dx="16" fmlaLink="C8" fmlaRange="Data!$A$1:$A$100" noThreeD="1" sel="6" val="3"/>
</file>

<file path=xl/ctrlProps/ctrlProp27.xml><?xml version="1.0" encoding="utf-8"?>
<formControlPr xmlns="http://schemas.microsoft.com/office/spreadsheetml/2009/9/main" objectType="Drop" dropLines="12" dropStyle="combo" dx="16" fmlaLink="C17" fmlaRange="Data!$E$13:$E$85" noThreeD="1" sel="18" val="17"/>
</file>

<file path=xl/ctrlProps/ctrlProp28.xml><?xml version="1.0" encoding="utf-8"?>
<formControlPr xmlns="http://schemas.microsoft.com/office/spreadsheetml/2009/9/main" objectType="Drop" dropLines="12" dropStyle="combo" dx="16" fmlaLink="C19" fmlaRange="Data!$R$13:$R$90" noThreeD="1" sel="19" val="17"/>
</file>

<file path=xl/ctrlProps/ctrlProp29.xml><?xml version="1.0" encoding="utf-8"?>
<formControlPr xmlns="http://schemas.microsoft.com/office/spreadsheetml/2009/9/main" objectType="Drop" dropLines="2" dropStyle="combo" dx="16" fmlaLink="C23" fmlaRange="Data!$B$10:$C$11" noThreeD="1" sel="1" val="0"/>
</file>

<file path=xl/ctrlProps/ctrlProp3.xml><?xml version="1.0" encoding="utf-8"?>
<formControlPr xmlns="http://schemas.microsoft.com/office/spreadsheetml/2009/9/main" objectType="Drop" dropLines="4" dropStyle="combo" dx="16" fmlaLink="C5" fmlaRange="Data!$C$4:$C$7" noThreeD="1" sel="2" val="0"/>
</file>

<file path=xl/ctrlProps/ctrlProp30.xml><?xml version="1.0" encoding="utf-8"?>
<formControlPr xmlns="http://schemas.microsoft.com/office/spreadsheetml/2009/9/main" objectType="Drop" dropLines="12" dropStyle="combo" dx="16" fmlaLink="$C$13" fmlaRange="Data!$AF$1:$AF$100" noThreeD="1" sel="4" val="3"/>
</file>

<file path=xl/ctrlProps/ctrlProp31.xml><?xml version="1.0" encoding="utf-8"?>
<formControlPr xmlns="http://schemas.microsoft.com/office/spreadsheetml/2009/9/main" objectType="Drop" dropLines="12" dropStyle="combo" dx="16" fmlaLink="$C$27" fmlaRange="Data!$AF$1:$AF$100" noThreeD="1" sel="5" val="2"/>
</file>

<file path=xl/ctrlProps/ctrlProp32.xml><?xml version="1.0" encoding="utf-8"?>
<formControlPr xmlns="http://schemas.microsoft.com/office/spreadsheetml/2009/9/main" objectType="Drop" dropLines="12" dropStyle="combo" dx="16" fmlaLink="$C$31" fmlaRange="Data!$E$13:$E$85" noThreeD="1" sel="22" val="17"/>
</file>

<file path=xl/ctrlProps/ctrlProp33.xml><?xml version="1.0" encoding="utf-8"?>
<formControlPr xmlns="http://schemas.microsoft.com/office/spreadsheetml/2009/9/main" objectType="Drop" dropLines="12" dropStyle="combo" dx="16" fmlaLink="$C$33" fmlaRange="Data!$R$13:$R$90" noThreeD="1" sel="69" val="6"/>
</file>

<file path=xl/ctrlProps/ctrlProp34.xml><?xml version="1.0" encoding="utf-8"?>
<formControlPr xmlns="http://schemas.microsoft.com/office/spreadsheetml/2009/9/main" objectType="Drop" dropLines="2" dropStyle="combo" dx="16" fmlaLink="$C$37" fmlaRange="Data!$B$10:$C$11" noThreeD="1" sel="1" val="0"/>
</file>

<file path=xl/ctrlProps/ctrlProp35.xml><?xml version="1.0" encoding="utf-8"?>
<formControlPr xmlns="http://schemas.microsoft.com/office/spreadsheetml/2009/9/main" objectType="Drop" dropLines="12" dropStyle="combo" dx="16" fmlaLink="$C$29" fmlaRange="Data!$E$106:$E$134" noThreeD="1" sel="5" val="0"/>
</file>

<file path=xl/ctrlProps/ctrlProp36.xml><?xml version="1.0" encoding="utf-8"?>
<formControlPr xmlns="http://schemas.microsoft.com/office/spreadsheetml/2009/9/main" objectType="Drop" dropLines="12" dropStyle="combo" dx="16" fmlaLink="C15" fmlaRange="Data!$E$106:$E$134" noThreeD="1" sel="3" val="0"/>
</file>

<file path=xl/ctrlProps/ctrlProp37.xml><?xml version="1.0" encoding="utf-8"?>
<formControlPr xmlns="http://schemas.microsoft.com/office/spreadsheetml/2009/9/main" objectType="Drop" dropLines="12" dropStyle="combo" dx="16" fmlaLink="$C$33" fmlaRange="Data!$R$13:$R$90" noThreeD="1" sel="69" val="57"/>
</file>

<file path=xl/ctrlProps/ctrlProp38.xml><?xml version="1.0" encoding="utf-8"?>
<formControlPr xmlns="http://schemas.microsoft.com/office/spreadsheetml/2009/9/main" objectType="Drop" dropLines="12" dropStyle="combo" dx="16" fmlaLink="$C$21" fmlaRange="Data!$R$106:$R$190" noThreeD="1" sel="51" val="49"/>
</file>

<file path=xl/ctrlProps/ctrlProp39.xml><?xml version="1.0" encoding="utf-8"?>
<formControlPr xmlns="http://schemas.microsoft.com/office/spreadsheetml/2009/9/main" objectType="Drop" dropLines="12" dropStyle="combo" dx="16" fmlaLink="$C$33" fmlaRange="Data!$R$13:$R$90" noThreeD="1" sel="69" val="6"/>
</file>

<file path=xl/ctrlProps/ctrlProp4.xml><?xml version="1.0" encoding="utf-8"?>
<formControlPr xmlns="http://schemas.microsoft.com/office/spreadsheetml/2009/9/main" objectType="Drop" dropLines="12" dropStyle="combo" dx="16" fmlaLink="C8" fmlaRange="Data!$A$1:$A$100" noThreeD="1" sel="7" val="6"/>
</file>

<file path=xl/ctrlProps/ctrlProp40.xml><?xml version="1.0" encoding="utf-8"?>
<formControlPr xmlns="http://schemas.microsoft.com/office/spreadsheetml/2009/9/main" objectType="Drop" dropLines="12" dropStyle="combo" dx="16" fmlaLink="$C$35" fmlaRange="Data!$R$106:$R$190" noThreeD="1" sel="72" val="62"/>
</file>

<file path=xl/ctrlProps/ctrlProp41.xml><?xml version="1.0" encoding="utf-8"?>
<formControlPr xmlns="http://schemas.microsoft.com/office/spreadsheetml/2009/9/main" objectType="Drop" dropLines="4" dropStyle="combo" dx="16" fmlaLink="D9" fmlaRange="Data!$C$4:$C$7" noThreeD="1" sel="4" val="0"/>
</file>

<file path=xl/ctrlProps/ctrlProp42.xml><?xml version="1.0" encoding="utf-8"?>
<formControlPr xmlns="http://schemas.microsoft.com/office/spreadsheetml/2009/9/main" objectType="Drop" dropLines="4" dropStyle="combo" dx="16" fmlaLink="P9" fmlaRange="Data!$C$4:$C$7" noThreeD="1" sel="4" val="0"/>
</file>

<file path=xl/ctrlProps/ctrlProp43.xml><?xml version="1.0" encoding="utf-8"?>
<formControlPr xmlns="http://schemas.microsoft.com/office/spreadsheetml/2009/9/main" objectType="Drop" dropLines="12" dropStyle="combo" dx="16" fmlaLink="R17" fmlaRange="Fittings!$A$2:$A$32" noThreeD="1" sel="1" val="0"/>
</file>

<file path=xl/ctrlProps/ctrlProp44.xml><?xml version="1.0" encoding="utf-8"?>
<formControlPr xmlns="http://schemas.microsoft.com/office/spreadsheetml/2009/9/main" objectType="Drop" dropLines="30" dropStyle="combo" dx="16" fmlaLink="M17" fmlaRange="Fittings!$F$3:$F$660" noThreeD="1" sel="6" val="0"/>
</file>

<file path=xl/ctrlProps/ctrlProp45.xml><?xml version="1.0" encoding="utf-8"?>
<formControlPr xmlns="http://schemas.microsoft.com/office/spreadsheetml/2009/9/main" objectType="Drop" dropLines="11" dropStyle="combo" dx="16" fmlaLink="I15" fmlaRange="Fittings!$W$3:$W$14" noThreeD="1" sel="3" val="0"/>
</file>

<file path=xl/ctrlProps/ctrlProp46.xml><?xml version="1.0" encoding="utf-8"?>
<formControlPr xmlns="http://schemas.microsoft.com/office/spreadsheetml/2009/9/main" objectType="Drop" dropLines="30" dropStyle="combo" dx="16" fmlaLink="M19" fmlaRange="Fittings!$F$3:$F$660" noThreeD="1" sel="267" val="235"/>
</file>

<file path=xl/ctrlProps/ctrlProp47.xml><?xml version="1.0" encoding="utf-8"?>
<formControlPr xmlns="http://schemas.microsoft.com/office/spreadsheetml/2009/9/main" objectType="Drop" dropLines="12" dropStyle="combo" dx="16" fmlaLink="R19" fmlaRange="Fittings!$A$2:$A$32" noThreeD="1" sel="1" val="0"/>
</file>

<file path=xl/ctrlProps/ctrlProp48.xml><?xml version="1.0" encoding="utf-8"?>
<formControlPr xmlns="http://schemas.microsoft.com/office/spreadsheetml/2009/9/main" objectType="Drop" dropLines="30" dropStyle="combo" dx="16" fmlaLink="M21" fmlaRange="Fittings!$F$3:$F$660" noThreeD="1" sel="204" val="0"/>
</file>

<file path=xl/ctrlProps/ctrlProp49.xml><?xml version="1.0" encoding="utf-8"?>
<formControlPr xmlns="http://schemas.microsoft.com/office/spreadsheetml/2009/9/main" objectType="Drop" dropLines="12" dropStyle="combo" dx="16" fmlaLink="R21" fmlaRange="Fittings!$A$2:$A$32" noThreeD="1" sel="1" val="0"/>
</file>

<file path=xl/ctrlProps/ctrlProp5.xml><?xml version="1.0" encoding="utf-8"?>
<formControlPr xmlns="http://schemas.microsoft.com/office/spreadsheetml/2009/9/main" objectType="Drop" dropLines="2" dropStyle="combo" dx="16" fmlaLink="C21" fmlaRange="Data!$B$10:$C$11" noThreeD="1" sel="2" val="0"/>
</file>

<file path=xl/ctrlProps/ctrlProp50.xml><?xml version="1.0" encoding="utf-8"?>
<formControlPr xmlns="http://schemas.microsoft.com/office/spreadsheetml/2009/9/main" objectType="Drop" dropLines="30" dropStyle="combo" dx="16" fmlaLink="M23" fmlaRange="Fittings!$F$3:$F$660" noThreeD="1" sel="163" val="524"/>
</file>

<file path=xl/ctrlProps/ctrlProp51.xml><?xml version="1.0" encoding="utf-8"?>
<formControlPr xmlns="http://schemas.microsoft.com/office/spreadsheetml/2009/9/main" objectType="Drop" dropLines="12" dropStyle="combo" dx="16" fmlaLink="R23" fmlaRange="Fittings!$A$2:$A$32" noThreeD="1" sel="1" val="0"/>
</file>

<file path=xl/ctrlProps/ctrlProp52.xml><?xml version="1.0" encoding="utf-8"?>
<formControlPr xmlns="http://schemas.microsoft.com/office/spreadsheetml/2009/9/main" objectType="Drop" dropLines="4" dropStyle="combo" dx="22" fmlaLink="$B$1" fmlaRange="Data!$C$4:$C$7" noThreeD="1" sel="4" val="0"/>
</file>

<file path=xl/ctrlProps/ctrlProp53.xml><?xml version="1.0" encoding="utf-8"?>
<formControlPr xmlns="http://schemas.microsoft.com/office/spreadsheetml/2009/9/main" objectType="Drop" dropLines="3" dropStyle="combo" dx="22" fmlaLink="$B$19" fmlaRange="Data!$R$4:$S$6" noThreeD="1" sel="1" val="0"/>
</file>

<file path=xl/ctrlProps/ctrlProp54.xml><?xml version="1.0" encoding="utf-8"?>
<formControlPr xmlns="http://schemas.microsoft.com/office/spreadsheetml/2009/9/main" objectType="Drop" dropLines="12" dropStyle="combo" dx="22" fmlaLink="$B$2" fmlaRange="Data!$D$12:$D$30" noThreeD="1" sel="1" val="0"/>
</file>

<file path=xl/ctrlProps/ctrlProp55.xml><?xml version="1.0" encoding="utf-8"?>
<formControlPr xmlns="http://schemas.microsoft.com/office/spreadsheetml/2009/9/main" objectType="Drop" dropLines="12" dropStyle="combo" dx="22" fmlaLink="$B$3" fmlaRange="Data!$D$12:$D$30" noThreeD="1" sel="1" val="0"/>
</file>

<file path=xl/ctrlProps/ctrlProp6.xml><?xml version="1.0" encoding="utf-8"?>
<formControlPr xmlns="http://schemas.microsoft.com/office/spreadsheetml/2009/9/main" objectType="Drop" dropLines="12" dropStyle="combo" dx="16" fmlaLink="C13" fmlaRange="Data!$E$106:$E$134" noThreeD="1" sel="22" val="17"/>
</file>

<file path=xl/ctrlProps/ctrlProp7.xml><?xml version="1.0" encoding="utf-8"?>
<formControlPr xmlns="http://schemas.microsoft.com/office/spreadsheetml/2009/9/main" objectType="Drop" dropLines="12" dropStyle="combo" dx="16" fmlaLink="C19" fmlaRange="Data!$R$106:$R$190" noThreeD="1" sel="33" val="0"/>
</file>

<file path=xl/ctrlProps/ctrlProp8.xml><?xml version="1.0" encoding="utf-8"?>
<formControlPr xmlns="http://schemas.microsoft.com/office/spreadsheetml/2009/9/main" objectType="Drop" dropLines="12" dropStyle="combo" dx="16" fmlaLink="C15" fmlaRange="Data!$E$13:$E$85" noThreeD="1" sel="18" val="17"/>
</file>

<file path=xl/ctrlProps/ctrlProp9.xml><?xml version="1.0" encoding="utf-8"?>
<formControlPr xmlns="http://schemas.microsoft.com/office/spreadsheetml/2009/9/main" objectType="Drop" dropLines="12" dropStyle="combo" dx="16" fmlaLink="C17" fmlaRange="Data!$R$13:$R$90" noThreeD="1" sel="25" val="1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331874</xdr:colOff>
      <xdr:row>1</xdr:row>
      <xdr:rowOff>237360</xdr:rowOff>
    </xdr:from>
    <xdr:to>
      <xdr:col>8</xdr:col>
      <xdr:colOff>361949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374" y="951735"/>
          <a:ext cx="2620875" cy="667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4</xdr:row>
          <xdr:rowOff>0</xdr:rowOff>
        </xdr:from>
        <xdr:to>
          <xdr:col>3</xdr:col>
          <xdr:colOff>123825</xdr:colOff>
          <xdr:row>5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6</xdr:row>
          <xdr:rowOff>200025</xdr:rowOff>
        </xdr:from>
        <xdr:to>
          <xdr:col>3</xdr:col>
          <xdr:colOff>123825</xdr:colOff>
          <xdr:row>8</xdr:row>
          <xdr:rowOff>9525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180975</xdr:colOff>
      <xdr:row>5</xdr:row>
      <xdr:rowOff>76200</xdr:rowOff>
    </xdr:from>
    <xdr:to>
      <xdr:col>15</xdr:col>
      <xdr:colOff>155879</xdr:colOff>
      <xdr:row>10</xdr:row>
      <xdr:rowOff>176573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57550" y="1123950"/>
          <a:ext cx="1860854" cy="1148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142875</xdr:colOff>
      <xdr:row>4</xdr:row>
      <xdr:rowOff>9525</xdr:rowOff>
    </xdr:from>
    <xdr:to>
      <xdr:col>38</xdr:col>
      <xdr:colOff>95251</xdr:colOff>
      <xdr:row>34</xdr:row>
      <xdr:rowOff>161925</xdr:rowOff>
    </xdr:to>
    <xdr:sp macro="" textlink="">
      <xdr:nvSpPr>
        <xdr:cNvPr id="5" name="Round Diagonal Corner 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3009900" y="847725"/>
          <a:ext cx="6867526" cy="6391275"/>
        </a:xfrm>
        <a:prstGeom prst="round2DiagRect">
          <a:avLst/>
        </a:prstGeom>
        <a:noFill/>
        <a:ln w="317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114300</xdr:colOff>
      <xdr:row>22</xdr:row>
      <xdr:rowOff>104776</xdr:rowOff>
    </xdr:from>
    <xdr:to>
      <xdr:col>31</xdr:col>
      <xdr:colOff>179070</xdr:colOff>
      <xdr:row>30</xdr:row>
      <xdr:rowOff>170376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5"/>
        <a:stretch/>
      </xdr:blipFill>
      <xdr:spPr>
        <a:xfrm>
          <a:off x="3190875" y="4714876"/>
          <a:ext cx="5303520" cy="1694375"/>
        </a:xfrm>
        <a:prstGeom prst="rect">
          <a:avLst/>
        </a:prstGeom>
      </xdr:spPr>
    </xdr:pic>
    <xdr:clientData/>
  </xdr:twoCellAnchor>
  <xdr:twoCellAnchor>
    <xdr:from>
      <xdr:col>35</xdr:col>
      <xdr:colOff>9525</xdr:colOff>
      <xdr:row>24</xdr:row>
      <xdr:rowOff>19050</xdr:rowOff>
    </xdr:from>
    <xdr:to>
      <xdr:col>35</xdr:col>
      <xdr:colOff>9525</xdr:colOff>
      <xdr:row>24</xdr:row>
      <xdr:rowOff>201930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>
          <a:off x="9163050" y="5000625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35</xdr:col>
      <xdr:colOff>9525</xdr:colOff>
      <xdr:row>27</xdr:row>
      <xdr:rowOff>161925</xdr:rowOff>
    </xdr:from>
    <xdr:to>
      <xdr:col>35</xdr:col>
      <xdr:colOff>9525</xdr:colOff>
      <xdr:row>29</xdr:row>
      <xdr:rowOff>200025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 bwMode="auto">
        <a:xfrm>
          <a:off x="9163050" y="5772150"/>
          <a:ext cx="0" cy="4572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95250</xdr:colOff>
      <xdr:row>32</xdr:row>
      <xdr:rowOff>123826</xdr:rowOff>
    </xdr:from>
    <xdr:to>
      <xdr:col>18</xdr:col>
      <xdr:colOff>167640</xdr:colOff>
      <xdr:row>32</xdr:row>
      <xdr:rowOff>123826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>
          <a:off x="3381375" y="6781801"/>
          <a:ext cx="23774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47625</xdr:colOff>
      <xdr:row>32</xdr:row>
      <xdr:rowOff>123826</xdr:rowOff>
    </xdr:from>
    <xdr:to>
      <xdr:col>31</xdr:col>
      <xdr:colOff>51435</xdr:colOff>
      <xdr:row>32</xdr:row>
      <xdr:rowOff>123826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 bwMode="auto">
        <a:xfrm>
          <a:off x="7315200" y="6781801"/>
          <a:ext cx="105156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95250</xdr:colOff>
      <xdr:row>30</xdr:row>
      <xdr:rowOff>1</xdr:rowOff>
    </xdr:from>
    <xdr:to>
      <xdr:col>35</xdr:col>
      <xdr:colOff>80010</xdr:colOff>
      <xdr:row>30</xdr:row>
      <xdr:rowOff>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 bwMode="auto">
        <a:xfrm>
          <a:off x="8410575" y="6238876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85725</xdr:colOff>
      <xdr:row>30</xdr:row>
      <xdr:rowOff>19051</xdr:rowOff>
    </xdr:from>
    <xdr:to>
      <xdr:col>7</xdr:col>
      <xdr:colOff>85725</xdr:colOff>
      <xdr:row>33</xdr:row>
      <xdr:rowOff>30481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 bwMode="auto">
        <a:xfrm>
          <a:off x="3371850" y="6257926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57150</xdr:colOff>
      <xdr:row>30</xdr:row>
      <xdr:rowOff>28576</xdr:rowOff>
    </xdr:from>
    <xdr:to>
      <xdr:col>31</xdr:col>
      <xdr:colOff>57150</xdr:colOff>
      <xdr:row>33</xdr:row>
      <xdr:rowOff>40006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 bwMode="auto">
        <a:xfrm>
          <a:off x="8372475" y="6267451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104775</xdr:colOff>
      <xdr:row>24</xdr:row>
      <xdr:rowOff>19051</xdr:rowOff>
    </xdr:from>
    <xdr:to>
      <xdr:col>35</xdr:col>
      <xdr:colOff>89535</xdr:colOff>
      <xdr:row>24</xdr:row>
      <xdr:rowOff>19051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 bwMode="auto">
        <a:xfrm>
          <a:off x="8420100" y="5000626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66675</xdr:colOff>
      <xdr:row>29</xdr:row>
      <xdr:rowOff>28576</xdr:rowOff>
    </xdr:from>
    <xdr:to>
      <xdr:col>33</xdr:col>
      <xdr:colOff>32385</xdr:colOff>
      <xdr:row>29</xdr:row>
      <xdr:rowOff>28576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 bwMode="auto">
        <a:xfrm>
          <a:off x="8172450" y="6057901"/>
          <a:ext cx="5943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0</xdr:colOff>
      <xdr:row>25</xdr:row>
      <xdr:rowOff>38101</xdr:rowOff>
    </xdr:from>
    <xdr:to>
      <xdr:col>33</xdr:col>
      <xdr:colOff>68580</xdr:colOff>
      <xdr:row>25</xdr:row>
      <xdr:rowOff>38101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 bwMode="auto">
        <a:xfrm>
          <a:off x="7477125" y="5229226"/>
          <a:ext cx="1325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95250</xdr:colOff>
      <xdr:row>29</xdr:row>
      <xdr:rowOff>57151</xdr:rowOff>
    </xdr:from>
    <xdr:to>
      <xdr:col>8</xdr:col>
      <xdr:colOff>95250</xdr:colOff>
      <xdr:row>31</xdr:row>
      <xdr:rowOff>186691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 bwMode="auto">
        <a:xfrm>
          <a:off x="3590925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57150</xdr:colOff>
      <xdr:row>29</xdr:row>
      <xdr:rowOff>57151</xdr:rowOff>
    </xdr:from>
    <xdr:to>
      <xdr:col>15</xdr:col>
      <xdr:colOff>57150</xdr:colOff>
      <xdr:row>31</xdr:row>
      <xdr:rowOff>186691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 bwMode="auto">
        <a:xfrm>
          <a:off x="5019675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200025</xdr:colOff>
      <xdr:row>29</xdr:row>
      <xdr:rowOff>57151</xdr:rowOff>
    </xdr:from>
    <xdr:to>
      <xdr:col>15</xdr:col>
      <xdr:colOff>200025</xdr:colOff>
      <xdr:row>31</xdr:row>
      <xdr:rowOff>186691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 bwMode="auto">
        <a:xfrm>
          <a:off x="5162550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23</xdr:col>
      <xdr:colOff>85725</xdr:colOff>
      <xdr:row>29</xdr:row>
      <xdr:rowOff>57151</xdr:rowOff>
    </xdr:from>
    <xdr:to>
      <xdr:col>23</xdr:col>
      <xdr:colOff>85725</xdr:colOff>
      <xdr:row>31</xdr:row>
      <xdr:rowOff>186691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 bwMode="auto">
        <a:xfrm>
          <a:off x="6724650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38100</xdr:colOff>
      <xdr:row>29</xdr:row>
      <xdr:rowOff>57151</xdr:rowOff>
    </xdr:from>
    <xdr:to>
      <xdr:col>30</xdr:col>
      <xdr:colOff>38100</xdr:colOff>
      <xdr:row>31</xdr:row>
      <xdr:rowOff>186691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 bwMode="auto">
        <a:xfrm>
          <a:off x="8143875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95250</xdr:colOff>
      <xdr:row>31</xdr:row>
      <xdr:rowOff>123826</xdr:rowOff>
    </xdr:from>
    <xdr:to>
      <xdr:col>9</xdr:col>
      <xdr:colOff>114300</xdr:colOff>
      <xdr:row>31</xdr:row>
      <xdr:rowOff>123826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 bwMode="auto">
        <a:xfrm>
          <a:off x="3590925" y="6572251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31</xdr:row>
      <xdr:rowOff>123826</xdr:rowOff>
    </xdr:from>
    <xdr:to>
      <xdr:col>7</xdr:col>
      <xdr:colOff>85725</xdr:colOff>
      <xdr:row>31</xdr:row>
      <xdr:rowOff>123826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 bwMode="auto">
        <a:xfrm>
          <a:off x="3143250" y="6572251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31</xdr:row>
      <xdr:rowOff>123826</xdr:rowOff>
    </xdr:from>
    <xdr:to>
      <xdr:col>17</xdr:col>
      <xdr:colOff>19050</xdr:colOff>
      <xdr:row>31</xdr:row>
      <xdr:rowOff>123826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 bwMode="auto">
        <a:xfrm>
          <a:off x="5172075" y="6572251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28575</xdr:colOff>
      <xdr:row>31</xdr:row>
      <xdr:rowOff>123826</xdr:rowOff>
    </xdr:from>
    <xdr:to>
      <xdr:col>15</xdr:col>
      <xdr:colOff>47625</xdr:colOff>
      <xdr:row>31</xdr:row>
      <xdr:rowOff>123826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 bwMode="auto">
        <a:xfrm>
          <a:off x="4781550" y="6572251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23</xdr:col>
      <xdr:colOff>76200</xdr:colOff>
      <xdr:row>31</xdr:row>
      <xdr:rowOff>133351</xdr:rowOff>
    </xdr:from>
    <xdr:to>
      <xdr:col>25</xdr:col>
      <xdr:colOff>205740</xdr:colOff>
      <xdr:row>31</xdr:row>
      <xdr:rowOff>133351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 bwMode="auto">
        <a:xfrm>
          <a:off x="6715125" y="6581776"/>
          <a:ext cx="5486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180975</xdr:colOff>
      <xdr:row>31</xdr:row>
      <xdr:rowOff>133351</xdr:rowOff>
    </xdr:from>
    <xdr:to>
      <xdr:col>30</xdr:col>
      <xdr:colOff>36957</xdr:colOff>
      <xdr:row>31</xdr:row>
      <xdr:rowOff>133351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 bwMode="auto">
        <a:xfrm>
          <a:off x="7658100" y="6581776"/>
          <a:ext cx="484632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123825</xdr:colOff>
      <xdr:row>27</xdr:row>
      <xdr:rowOff>123826</xdr:rowOff>
    </xdr:from>
    <xdr:to>
      <xdr:col>32</xdr:col>
      <xdr:colOff>123825</xdr:colOff>
      <xdr:row>29</xdr:row>
      <xdr:rowOff>24766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 bwMode="auto">
        <a:xfrm>
          <a:off x="8648700" y="5734051"/>
          <a:ext cx="0" cy="32004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123825</xdr:colOff>
      <xdr:row>25</xdr:row>
      <xdr:rowOff>38101</xdr:rowOff>
    </xdr:from>
    <xdr:to>
      <xdr:col>32</xdr:col>
      <xdr:colOff>123825</xdr:colOff>
      <xdr:row>26</xdr:row>
      <xdr:rowOff>102871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 bwMode="auto">
        <a:xfrm>
          <a:off x="8648700" y="5229226"/>
          <a:ext cx="0" cy="2743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123825</xdr:colOff>
      <xdr:row>22</xdr:row>
      <xdr:rowOff>200026</xdr:rowOff>
    </xdr:from>
    <xdr:to>
      <xdr:col>32</xdr:col>
      <xdr:colOff>123825</xdr:colOff>
      <xdr:row>24</xdr:row>
      <xdr:rowOff>11431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 bwMode="auto">
        <a:xfrm>
          <a:off x="8648700" y="4810126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123825</xdr:colOff>
      <xdr:row>30</xdr:row>
      <xdr:rowOff>1</xdr:rowOff>
    </xdr:from>
    <xdr:to>
      <xdr:col>32</xdr:col>
      <xdr:colOff>123825</xdr:colOff>
      <xdr:row>30</xdr:row>
      <xdr:rowOff>182881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 bwMode="auto">
        <a:xfrm>
          <a:off x="8648700" y="6238876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133350</xdr:colOff>
      <xdr:row>21</xdr:row>
      <xdr:rowOff>95250</xdr:rowOff>
    </xdr:from>
    <xdr:to>
      <xdr:col>14</xdr:col>
      <xdr:colOff>161925</xdr:colOff>
      <xdr:row>23</xdr:row>
      <xdr:rowOff>114301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3629025" y="4495800"/>
          <a:ext cx="1285875" cy="438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+mn-lt"/>
              <a:cs typeface="Times New Roman"/>
            </a:rPr>
            <a:t>¾</a:t>
          </a:r>
          <a:r>
            <a:rPr lang="en-US" sz="1000" b="1">
              <a:latin typeface="+mn-lt"/>
              <a:cs typeface="Times New Roman"/>
            </a:rPr>
            <a:t>" to 2" washed crushed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21</xdr:col>
      <xdr:colOff>142875</xdr:colOff>
      <xdr:row>22</xdr:row>
      <xdr:rowOff>38101</xdr:rowOff>
    </xdr:from>
    <xdr:to>
      <xdr:col>28</xdr:col>
      <xdr:colOff>47625</xdr:colOff>
      <xdr:row>24</xdr:row>
      <xdr:rowOff>76201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6362700" y="4648201"/>
          <a:ext cx="13716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1" baseline="0">
              <a:latin typeface="+mn-lt"/>
              <a:cs typeface="Times New Roman"/>
            </a:rPr>
            <a:t>6 </a:t>
          </a:r>
          <a:r>
            <a:rPr lang="en-US" sz="1000" b="1">
              <a:latin typeface="+mn-lt"/>
              <a:cs typeface="Times New Roman"/>
            </a:rPr>
            <a:t>oz. non-woven filter fabric around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31</xdr:col>
      <xdr:colOff>96116</xdr:colOff>
      <xdr:row>49</xdr:row>
      <xdr:rowOff>159327</xdr:rowOff>
    </xdr:from>
    <xdr:to>
      <xdr:col>31</xdr:col>
      <xdr:colOff>96116</xdr:colOff>
      <xdr:row>55</xdr:row>
      <xdr:rowOff>90747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 bwMode="auto">
        <a:xfrm>
          <a:off x="8411441" y="10379652"/>
          <a:ext cx="0" cy="11887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96116</xdr:colOff>
      <xdr:row>43</xdr:row>
      <xdr:rowOff>187902</xdr:rowOff>
    </xdr:from>
    <xdr:to>
      <xdr:col>31</xdr:col>
      <xdr:colOff>96116</xdr:colOff>
      <xdr:row>48</xdr:row>
      <xdr:rowOff>54552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 bwMode="auto">
        <a:xfrm flipV="1">
          <a:off x="8411441" y="9150927"/>
          <a:ext cx="0" cy="9144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26266</xdr:colOff>
      <xdr:row>49</xdr:row>
      <xdr:rowOff>22802</xdr:rowOff>
    </xdr:from>
    <xdr:to>
      <xdr:col>31</xdr:col>
      <xdr:colOff>103525</xdr:colOff>
      <xdr:row>49</xdr:row>
      <xdr:rowOff>152977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 bwMode="auto">
        <a:xfrm flipH="1" flipV="1">
          <a:off x="8132041" y="10243127"/>
          <a:ext cx="286809" cy="1301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86593</xdr:colOff>
      <xdr:row>48</xdr:row>
      <xdr:rowOff>45030</xdr:rowOff>
    </xdr:from>
    <xdr:to>
      <xdr:col>33</xdr:col>
      <xdr:colOff>866</xdr:colOff>
      <xdr:row>48</xdr:row>
      <xdr:rowOff>149802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 bwMode="auto">
        <a:xfrm flipH="1" flipV="1">
          <a:off x="8401918" y="10055805"/>
          <a:ext cx="333373" cy="10477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10391</xdr:colOff>
      <xdr:row>48</xdr:row>
      <xdr:rowOff>158269</xdr:rowOff>
    </xdr:from>
    <xdr:to>
      <xdr:col>33</xdr:col>
      <xdr:colOff>10391</xdr:colOff>
      <xdr:row>49</xdr:row>
      <xdr:rowOff>22803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 bwMode="auto">
        <a:xfrm flipV="1">
          <a:off x="8116166" y="10169044"/>
          <a:ext cx="628650" cy="7408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130752</xdr:colOff>
      <xdr:row>40</xdr:row>
      <xdr:rowOff>173179</xdr:rowOff>
    </xdr:from>
    <xdr:to>
      <xdr:col>7</xdr:col>
      <xdr:colOff>130752</xdr:colOff>
      <xdr:row>47</xdr:row>
      <xdr:rowOff>169369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 bwMode="auto">
        <a:xfrm flipV="1">
          <a:off x="3416877" y="8507554"/>
          <a:ext cx="0" cy="1463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130752</xdr:colOff>
      <xdr:row>49</xdr:row>
      <xdr:rowOff>51953</xdr:rowOff>
    </xdr:from>
    <xdr:to>
      <xdr:col>7</xdr:col>
      <xdr:colOff>130752</xdr:colOff>
      <xdr:row>58</xdr:row>
      <xdr:rowOff>86243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 bwMode="auto">
        <a:xfrm>
          <a:off x="3416877" y="10272278"/>
          <a:ext cx="0" cy="19202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76201</xdr:colOff>
      <xdr:row>40</xdr:row>
      <xdr:rowOff>161541</xdr:rowOff>
    </xdr:from>
    <xdr:to>
      <xdr:col>9</xdr:col>
      <xdr:colOff>185998</xdr:colOff>
      <xdr:row>40</xdr:row>
      <xdr:rowOff>161541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 bwMode="auto">
        <a:xfrm>
          <a:off x="3152776" y="8495916"/>
          <a:ext cx="73844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76200</xdr:colOff>
      <xdr:row>58</xdr:row>
      <xdr:rowOff>90054</xdr:rowOff>
    </xdr:from>
    <xdr:to>
      <xdr:col>9</xdr:col>
      <xdr:colOff>185997</xdr:colOff>
      <xdr:row>58</xdr:row>
      <xdr:rowOff>90054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 bwMode="auto">
        <a:xfrm>
          <a:off x="3152775" y="12196329"/>
          <a:ext cx="73844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115166</xdr:colOff>
      <xdr:row>58</xdr:row>
      <xdr:rowOff>14719</xdr:rowOff>
    </xdr:from>
    <xdr:to>
      <xdr:col>9</xdr:col>
      <xdr:colOff>115166</xdr:colOff>
      <xdr:row>61</xdr:row>
      <xdr:rowOff>117589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 bwMode="auto">
        <a:xfrm>
          <a:off x="3820391" y="12120994"/>
          <a:ext cx="0" cy="7315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95251</xdr:colOff>
      <xdr:row>58</xdr:row>
      <xdr:rowOff>17318</xdr:rowOff>
    </xdr:from>
    <xdr:to>
      <xdr:col>51</xdr:col>
      <xdr:colOff>95251</xdr:colOff>
      <xdr:row>61</xdr:row>
      <xdr:rowOff>120188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 bwMode="auto">
        <a:xfrm>
          <a:off x="12601576" y="12123593"/>
          <a:ext cx="0" cy="7315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123824</xdr:colOff>
      <xdr:row>60</xdr:row>
      <xdr:rowOff>118629</xdr:rowOff>
    </xdr:from>
    <xdr:to>
      <xdr:col>24</xdr:col>
      <xdr:colOff>89534</xdr:colOff>
      <xdr:row>60</xdr:row>
      <xdr:rowOff>118629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 bwMode="auto">
        <a:xfrm flipH="1">
          <a:off x="3829049" y="12644004"/>
          <a:ext cx="3108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77065</xdr:colOff>
      <xdr:row>60</xdr:row>
      <xdr:rowOff>118629</xdr:rowOff>
    </xdr:from>
    <xdr:to>
      <xdr:col>51</xdr:col>
      <xdr:colOff>103735</xdr:colOff>
      <xdr:row>60</xdr:row>
      <xdr:rowOff>118629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 bwMode="auto">
        <a:xfrm flipH="1">
          <a:off x="7763740" y="12644004"/>
          <a:ext cx="4846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8659</xdr:colOff>
      <xdr:row>38</xdr:row>
      <xdr:rowOff>38100</xdr:rowOff>
    </xdr:from>
    <xdr:to>
      <xdr:col>9</xdr:col>
      <xdr:colOff>8659</xdr:colOff>
      <xdr:row>39</xdr:row>
      <xdr:rowOff>148590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 bwMode="auto">
        <a:xfrm>
          <a:off x="3713884" y="7953375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9524</xdr:colOff>
      <xdr:row>38</xdr:row>
      <xdr:rowOff>38100</xdr:rowOff>
    </xdr:from>
    <xdr:to>
      <xdr:col>52</xdr:col>
      <xdr:colOff>9524</xdr:colOff>
      <xdr:row>39</xdr:row>
      <xdr:rowOff>148590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 bwMode="auto">
        <a:xfrm>
          <a:off x="12725399" y="7953375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18185</xdr:colOff>
      <xdr:row>38</xdr:row>
      <xdr:rowOff>127287</xdr:rowOff>
    </xdr:from>
    <xdr:to>
      <xdr:col>30</xdr:col>
      <xdr:colOff>98195</xdr:colOff>
      <xdr:row>38</xdr:row>
      <xdr:rowOff>127287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 bwMode="auto">
        <a:xfrm flipH="1">
          <a:off x="3723410" y="8042562"/>
          <a:ext cx="44805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35</xdr:col>
      <xdr:colOff>27707</xdr:colOff>
      <xdr:row>38</xdr:row>
      <xdr:rowOff>127287</xdr:rowOff>
    </xdr:from>
    <xdr:to>
      <xdr:col>51</xdr:col>
      <xdr:colOff>195347</xdr:colOff>
      <xdr:row>38</xdr:row>
      <xdr:rowOff>127287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 bwMode="auto">
        <a:xfrm flipH="1">
          <a:off x="9181232" y="8042562"/>
          <a:ext cx="35204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83128</xdr:colOff>
      <xdr:row>40</xdr:row>
      <xdr:rowOff>11257</xdr:rowOff>
    </xdr:from>
    <xdr:to>
      <xdr:col>54</xdr:col>
      <xdr:colOff>29788</xdr:colOff>
      <xdr:row>40</xdr:row>
      <xdr:rowOff>11257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 bwMode="auto">
        <a:xfrm>
          <a:off x="12799003" y="8345632"/>
          <a:ext cx="3657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72736</xdr:colOff>
      <xdr:row>58</xdr:row>
      <xdr:rowOff>201273</xdr:rowOff>
    </xdr:from>
    <xdr:to>
      <xdr:col>54</xdr:col>
      <xdr:colOff>19396</xdr:colOff>
      <xdr:row>58</xdr:row>
      <xdr:rowOff>201273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 bwMode="auto">
        <a:xfrm>
          <a:off x="12788611" y="12307548"/>
          <a:ext cx="3657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130752</xdr:colOff>
      <xdr:row>40</xdr:row>
      <xdr:rowOff>11256</xdr:rowOff>
    </xdr:from>
    <xdr:to>
      <xdr:col>53</xdr:col>
      <xdr:colOff>130752</xdr:colOff>
      <xdr:row>49</xdr:row>
      <xdr:rowOff>136986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 bwMode="auto">
        <a:xfrm flipV="1">
          <a:off x="13056177" y="8345631"/>
          <a:ext cx="0" cy="20116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130752</xdr:colOff>
      <xdr:row>51</xdr:row>
      <xdr:rowOff>103909</xdr:rowOff>
    </xdr:from>
    <xdr:to>
      <xdr:col>53</xdr:col>
      <xdr:colOff>130752</xdr:colOff>
      <xdr:row>58</xdr:row>
      <xdr:rowOff>191539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 bwMode="auto">
        <a:xfrm>
          <a:off x="13056177" y="10743334"/>
          <a:ext cx="0" cy="1554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107372</xdr:colOff>
      <xdr:row>43</xdr:row>
      <xdr:rowOff>97848</xdr:rowOff>
    </xdr:from>
    <xdr:to>
      <xdr:col>15</xdr:col>
      <xdr:colOff>107372</xdr:colOff>
      <xdr:row>44</xdr:row>
      <xdr:rowOff>25458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 bwMode="auto">
        <a:xfrm>
          <a:off x="5069897" y="9060873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48490</xdr:colOff>
      <xdr:row>43</xdr:row>
      <xdr:rowOff>97848</xdr:rowOff>
    </xdr:from>
    <xdr:to>
      <xdr:col>20</xdr:col>
      <xdr:colOff>48490</xdr:colOff>
      <xdr:row>44</xdr:row>
      <xdr:rowOff>25458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 bwMode="auto">
        <a:xfrm>
          <a:off x="6058765" y="9060873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116897</xdr:colOff>
      <xdr:row>43</xdr:row>
      <xdr:rowOff>170584</xdr:rowOff>
    </xdr:from>
    <xdr:to>
      <xdr:col>20</xdr:col>
      <xdr:colOff>37926</xdr:colOff>
      <xdr:row>43</xdr:row>
      <xdr:rowOff>170584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 bwMode="auto">
        <a:xfrm flipH="1">
          <a:off x="5079422" y="9133609"/>
          <a:ext cx="96877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9</xdr:col>
      <xdr:colOff>67541</xdr:colOff>
      <xdr:row>40</xdr:row>
      <xdr:rowOff>123132</xdr:rowOff>
    </xdr:from>
    <xdr:to>
      <xdr:col>52</xdr:col>
      <xdr:colOff>866</xdr:colOff>
      <xdr:row>43</xdr:row>
      <xdr:rowOff>61410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3772766" y="8457507"/>
          <a:ext cx="8943975" cy="566928"/>
        </a:xfrm>
        <a:prstGeom prst="rect">
          <a:avLst/>
        </a:prstGeom>
      </xdr:spPr>
    </xdr:pic>
    <xdr:clientData/>
  </xdr:twoCellAnchor>
  <xdr:twoCellAnchor editAs="oneCell">
    <xdr:from>
      <xdr:col>9</xdr:col>
      <xdr:colOff>67541</xdr:colOff>
      <xdr:row>55</xdr:row>
      <xdr:rowOff>178377</xdr:rowOff>
    </xdr:from>
    <xdr:to>
      <xdr:col>52</xdr:col>
      <xdr:colOff>866</xdr:colOff>
      <xdr:row>58</xdr:row>
      <xdr:rowOff>116655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4020416" y="11656002"/>
          <a:ext cx="8943975" cy="566928"/>
        </a:xfrm>
        <a:prstGeom prst="rect">
          <a:avLst/>
        </a:prstGeom>
      </xdr:spPr>
    </xdr:pic>
    <xdr:clientData/>
  </xdr:twoCellAnchor>
  <xdr:twoCellAnchor>
    <xdr:from>
      <xdr:col>13</xdr:col>
      <xdr:colOff>162790</xdr:colOff>
      <xdr:row>59</xdr:row>
      <xdr:rowOff>11257</xdr:rowOff>
    </xdr:from>
    <xdr:to>
      <xdr:col>13</xdr:col>
      <xdr:colOff>162790</xdr:colOff>
      <xdr:row>59</xdr:row>
      <xdr:rowOff>195869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 bwMode="auto">
        <a:xfrm flipH="1">
          <a:off x="4706215" y="12327082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153266</xdr:colOff>
      <xdr:row>57</xdr:row>
      <xdr:rowOff>102177</xdr:rowOff>
    </xdr:from>
    <xdr:to>
      <xdr:col>13</xdr:col>
      <xdr:colOff>153266</xdr:colOff>
      <xdr:row>58</xdr:row>
      <xdr:rowOff>77239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 bwMode="auto">
        <a:xfrm flipH="1">
          <a:off x="4696691" y="11998902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172316</xdr:colOff>
      <xdr:row>54</xdr:row>
      <xdr:rowOff>206952</xdr:rowOff>
    </xdr:from>
    <xdr:to>
      <xdr:col>10</xdr:col>
      <xdr:colOff>172316</xdr:colOff>
      <xdr:row>55</xdr:row>
      <xdr:rowOff>152850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 bwMode="auto">
        <a:xfrm>
          <a:off x="4087091" y="11475027"/>
          <a:ext cx="0" cy="15544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115166</xdr:colOff>
      <xdr:row>54</xdr:row>
      <xdr:rowOff>206952</xdr:rowOff>
    </xdr:from>
    <xdr:to>
      <xdr:col>9</xdr:col>
      <xdr:colOff>115166</xdr:colOff>
      <xdr:row>56</xdr:row>
      <xdr:rowOff>62172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 bwMode="auto">
        <a:xfrm>
          <a:off x="3820391" y="11475027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115166</xdr:colOff>
      <xdr:row>55</xdr:row>
      <xdr:rowOff>35502</xdr:rowOff>
    </xdr:from>
    <xdr:to>
      <xdr:col>10</xdr:col>
      <xdr:colOff>170792</xdr:colOff>
      <xdr:row>55</xdr:row>
      <xdr:rowOff>35502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 bwMode="auto">
        <a:xfrm flipH="1">
          <a:off x="3820391" y="11513127"/>
          <a:ext cx="26517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67541</xdr:colOff>
      <xdr:row>44</xdr:row>
      <xdr:rowOff>45894</xdr:rowOff>
    </xdr:from>
    <xdr:to>
      <xdr:col>8</xdr:col>
      <xdr:colOff>204701</xdr:colOff>
      <xdr:row>44</xdr:row>
      <xdr:rowOff>45894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 bwMode="auto">
        <a:xfrm flipH="1">
          <a:off x="3563216" y="9218469"/>
          <a:ext cx="1371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137680</xdr:colOff>
      <xdr:row>44</xdr:row>
      <xdr:rowOff>45893</xdr:rowOff>
    </xdr:from>
    <xdr:to>
      <xdr:col>10</xdr:col>
      <xdr:colOff>65290</xdr:colOff>
      <xdr:row>44</xdr:row>
      <xdr:rowOff>45893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 bwMode="auto">
        <a:xfrm flipH="1">
          <a:off x="3842905" y="9218468"/>
          <a:ext cx="1371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128154</xdr:colOff>
      <xdr:row>42</xdr:row>
      <xdr:rowOff>168852</xdr:rowOff>
    </xdr:from>
    <xdr:to>
      <xdr:col>9</xdr:col>
      <xdr:colOff>128154</xdr:colOff>
      <xdr:row>44</xdr:row>
      <xdr:rowOff>117244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 bwMode="auto">
        <a:xfrm>
          <a:off x="3833379" y="8922327"/>
          <a:ext cx="0" cy="36749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23</xdr:col>
      <xdr:colOff>200025</xdr:colOff>
      <xdr:row>17</xdr:row>
      <xdr:rowOff>142875</xdr:rowOff>
    </xdr:from>
    <xdr:to>
      <xdr:col>37</xdr:col>
      <xdr:colOff>188996</xdr:colOff>
      <xdr:row>21</xdr:row>
      <xdr:rowOff>49055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3705225"/>
          <a:ext cx="2922671" cy="744380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22</xdr:row>
      <xdr:rowOff>180975</xdr:rowOff>
    </xdr:from>
    <xdr:to>
      <xdr:col>15</xdr:col>
      <xdr:colOff>95250</xdr:colOff>
      <xdr:row>25</xdr:row>
      <xdr:rowOff>0</xdr:rowOff>
    </xdr:to>
    <xdr:cxnSp macro="">
      <xdr:nvCxnSpPr>
        <xdr:cNvPr id="69" name="Curved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 bwMode="auto">
        <a:xfrm>
          <a:off x="4486275" y="4791075"/>
          <a:ext cx="571500" cy="400050"/>
        </a:xfrm>
        <a:prstGeom prst="curvedConnector3">
          <a:avLst>
            <a:gd name="adj1" fmla="val 3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</xdr:row>
          <xdr:rowOff>200025</xdr:rowOff>
        </xdr:from>
        <xdr:to>
          <xdr:col>3</xdr:col>
          <xdr:colOff>200025</xdr:colOff>
          <xdr:row>5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6</xdr:row>
          <xdr:rowOff>200025</xdr:rowOff>
        </xdr:from>
        <xdr:to>
          <xdr:col>3</xdr:col>
          <xdr:colOff>200025</xdr:colOff>
          <xdr:row>8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180975</xdr:colOff>
      <xdr:row>4</xdr:row>
      <xdr:rowOff>161925</xdr:rowOff>
    </xdr:from>
    <xdr:to>
      <xdr:col>16</xdr:col>
      <xdr:colOff>155879</xdr:colOff>
      <xdr:row>10</xdr:row>
      <xdr:rowOff>52748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7100" y="790575"/>
          <a:ext cx="1860854" cy="1148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95249</xdr:colOff>
      <xdr:row>4</xdr:row>
      <xdr:rowOff>0</xdr:rowOff>
    </xdr:from>
    <xdr:to>
      <xdr:col>39</xdr:col>
      <xdr:colOff>104776</xdr:colOff>
      <xdr:row>35</xdr:row>
      <xdr:rowOff>133350</xdr:rowOff>
    </xdr:to>
    <xdr:sp macro="" textlink="">
      <xdr:nvSpPr>
        <xdr:cNvPr id="5" name="Round Diagonal Corner 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3419474" y="866775"/>
          <a:ext cx="6924677" cy="6581775"/>
        </a:xfrm>
        <a:prstGeom prst="round2DiagRect">
          <a:avLst/>
        </a:prstGeom>
        <a:noFill/>
        <a:ln w="317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114300</xdr:colOff>
      <xdr:row>23</xdr:row>
      <xdr:rowOff>104776</xdr:rowOff>
    </xdr:from>
    <xdr:to>
      <xdr:col>32</xdr:col>
      <xdr:colOff>179070</xdr:colOff>
      <xdr:row>31</xdr:row>
      <xdr:rowOff>170376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5"/>
        <a:stretch/>
      </xdr:blipFill>
      <xdr:spPr>
        <a:xfrm>
          <a:off x="3190875" y="4714876"/>
          <a:ext cx="5303520" cy="1694375"/>
        </a:xfrm>
        <a:prstGeom prst="rect">
          <a:avLst/>
        </a:prstGeom>
      </xdr:spPr>
    </xdr:pic>
    <xdr:clientData/>
  </xdr:twoCellAnchor>
  <xdr:twoCellAnchor>
    <xdr:from>
      <xdr:col>36</xdr:col>
      <xdr:colOff>9525</xdr:colOff>
      <xdr:row>25</xdr:row>
      <xdr:rowOff>19050</xdr:rowOff>
    </xdr:from>
    <xdr:to>
      <xdr:col>36</xdr:col>
      <xdr:colOff>9525</xdr:colOff>
      <xdr:row>25</xdr:row>
      <xdr:rowOff>201930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 bwMode="auto">
        <a:xfrm>
          <a:off x="9163050" y="5000625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9525</xdr:colOff>
      <xdr:row>28</xdr:row>
      <xdr:rowOff>161925</xdr:rowOff>
    </xdr:from>
    <xdr:to>
      <xdr:col>36</xdr:col>
      <xdr:colOff>9525</xdr:colOff>
      <xdr:row>30</xdr:row>
      <xdr:rowOff>200025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 bwMode="auto">
        <a:xfrm>
          <a:off x="9163050" y="5772150"/>
          <a:ext cx="0" cy="4572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95250</xdr:colOff>
      <xdr:row>33</xdr:row>
      <xdr:rowOff>123826</xdr:rowOff>
    </xdr:from>
    <xdr:to>
      <xdr:col>19</xdr:col>
      <xdr:colOff>167640</xdr:colOff>
      <xdr:row>33</xdr:row>
      <xdr:rowOff>123826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 bwMode="auto">
        <a:xfrm>
          <a:off x="3381375" y="6781801"/>
          <a:ext cx="23774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47625</xdr:colOff>
      <xdr:row>33</xdr:row>
      <xdr:rowOff>123826</xdr:rowOff>
    </xdr:from>
    <xdr:to>
      <xdr:col>32</xdr:col>
      <xdr:colOff>51435</xdr:colOff>
      <xdr:row>33</xdr:row>
      <xdr:rowOff>123826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 bwMode="auto">
        <a:xfrm>
          <a:off x="7315200" y="6781801"/>
          <a:ext cx="105156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95250</xdr:colOff>
      <xdr:row>31</xdr:row>
      <xdr:rowOff>1</xdr:rowOff>
    </xdr:from>
    <xdr:to>
      <xdr:col>36</xdr:col>
      <xdr:colOff>80010</xdr:colOff>
      <xdr:row>31</xdr:row>
      <xdr:rowOff>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 bwMode="auto">
        <a:xfrm>
          <a:off x="8410575" y="6238876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85725</xdr:colOff>
      <xdr:row>31</xdr:row>
      <xdr:rowOff>19051</xdr:rowOff>
    </xdr:from>
    <xdr:to>
      <xdr:col>8</xdr:col>
      <xdr:colOff>85725</xdr:colOff>
      <xdr:row>34</xdr:row>
      <xdr:rowOff>30481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 bwMode="auto">
        <a:xfrm>
          <a:off x="3371850" y="6257926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57150</xdr:colOff>
      <xdr:row>31</xdr:row>
      <xdr:rowOff>28576</xdr:rowOff>
    </xdr:from>
    <xdr:to>
      <xdr:col>32</xdr:col>
      <xdr:colOff>57150</xdr:colOff>
      <xdr:row>34</xdr:row>
      <xdr:rowOff>40006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 bwMode="auto">
        <a:xfrm>
          <a:off x="8372475" y="6267451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104775</xdr:colOff>
      <xdr:row>25</xdr:row>
      <xdr:rowOff>19051</xdr:rowOff>
    </xdr:from>
    <xdr:to>
      <xdr:col>36</xdr:col>
      <xdr:colOff>89535</xdr:colOff>
      <xdr:row>25</xdr:row>
      <xdr:rowOff>19051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 bwMode="auto">
        <a:xfrm>
          <a:off x="8420100" y="5000626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66675</xdr:colOff>
      <xdr:row>30</xdr:row>
      <xdr:rowOff>28576</xdr:rowOff>
    </xdr:from>
    <xdr:to>
      <xdr:col>34</xdr:col>
      <xdr:colOff>32385</xdr:colOff>
      <xdr:row>30</xdr:row>
      <xdr:rowOff>28576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 bwMode="auto">
        <a:xfrm>
          <a:off x="8172450" y="6057901"/>
          <a:ext cx="5943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0</xdr:colOff>
      <xdr:row>26</xdr:row>
      <xdr:rowOff>38101</xdr:rowOff>
    </xdr:from>
    <xdr:to>
      <xdr:col>34</xdr:col>
      <xdr:colOff>68580</xdr:colOff>
      <xdr:row>26</xdr:row>
      <xdr:rowOff>38101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 bwMode="auto">
        <a:xfrm>
          <a:off x="7477125" y="5229226"/>
          <a:ext cx="1325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95250</xdr:colOff>
      <xdr:row>30</xdr:row>
      <xdr:rowOff>57151</xdr:rowOff>
    </xdr:from>
    <xdr:to>
      <xdr:col>9</xdr:col>
      <xdr:colOff>95250</xdr:colOff>
      <xdr:row>32</xdr:row>
      <xdr:rowOff>186691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 bwMode="auto">
        <a:xfrm>
          <a:off x="3590925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57150</xdr:colOff>
      <xdr:row>30</xdr:row>
      <xdr:rowOff>57151</xdr:rowOff>
    </xdr:from>
    <xdr:to>
      <xdr:col>16</xdr:col>
      <xdr:colOff>57150</xdr:colOff>
      <xdr:row>32</xdr:row>
      <xdr:rowOff>186691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 bwMode="auto">
        <a:xfrm>
          <a:off x="5019675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200025</xdr:colOff>
      <xdr:row>30</xdr:row>
      <xdr:rowOff>57151</xdr:rowOff>
    </xdr:from>
    <xdr:to>
      <xdr:col>16</xdr:col>
      <xdr:colOff>200025</xdr:colOff>
      <xdr:row>32</xdr:row>
      <xdr:rowOff>186691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 bwMode="auto">
        <a:xfrm>
          <a:off x="5162550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85725</xdr:colOff>
      <xdr:row>30</xdr:row>
      <xdr:rowOff>57151</xdr:rowOff>
    </xdr:from>
    <xdr:to>
      <xdr:col>24</xdr:col>
      <xdr:colOff>85725</xdr:colOff>
      <xdr:row>32</xdr:row>
      <xdr:rowOff>186691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 bwMode="auto">
        <a:xfrm>
          <a:off x="6724650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38100</xdr:colOff>
      <xdr:row>30</xdr:row>
      <xdr:rowOff>57151</xdr:rowOff>
    </xdr:from>
    <xdr:to>
      <xdr:col>31</xdr:col>
      <xdr:colOff>38100</xdr:colOff>
      <xdr:row>32</xdr:row>
      <xdr:rowOff>186691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 bwMode="auto">
        <a:xfrm>
          <a:off x="8143875" y="6086476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95250</xdr:colOff>
      <xdr:row>32</xdr:row>
      <xdr:rowOff>123826</xdr:rowOff>
    </xdr:from>
    <xdr:to>
      <xdr:col>10</xdr:col>
      <xdr:colOff>114300</xdr:colOff>
      <xdr:row>32</xdr:row>
      <xdr:rowOff>123826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 bwMode="auto">
        <a:xfrm>
          <a:off x="3590925" y="6572251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66675</xdr:colOff>
      <xdr:row>32</xdr:row>
      <xdr:rowOff>123826</xdr:rowOff>
    </xdr:from>
    <xdr:to>
      <xdr:col>8</xdr:col>
      <xdr:colOff>85725</xdr:colOff>
      <xdr:row>32</xdr:row>
      <xdr:rowOff>123826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 bwMode="auto">
        <a:xfrm>
          <a:off x="3143250" y="6572251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0</xdr:colOff>
      <xdr:row>32</xdr:row>
      <xdr:rowOff>123826</xdr:rowOff>
    </xdr:from>
    <xdr:to>
      <xdr:col>18</xdr:col>
      <xdr:colOff>19050</xdr:colOff>
      <xdr:row>32</xdr:row>
      <xdr:rowOff>123826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 bwMode="auto">
        <a:xfrm>
          <a:off x="5172075" y="6572251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28575</xdr:colOff>
      <xdr:row>32</xdr:row>
      <xdr:rowOff>123826</xdr:rowOff>
    </xdr:from>
    <xdr:to>
      <xdr:col>16</xdr:col>
      <xdr:colOff>47625</xdr:colOff>
      <xdr:row>32</xdr:row>
      <xdr:rowOff>123826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 bwMode="auto">
        <a:xfrm>
          <a:off x="4781550" y="6572251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76200</xdr:colOff>
      <xdr:row>32</xdr:row>
      <xdr:rowOff>133351</xdr:rowOff>
    </xdr:from>
    <xdr:to>
      <xdr:col>26</xdr:col>
      <xdr:colOff>205740</xdr:colOff>
      <xdr:row>32</xdr:row>
      <xdr:rowOff>133351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 bwMode="auto">
        <a:xfrm>
          <a:off x="6715125" y="6581776"/>
          <a:ext cx="5486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180975</xdr:colOff>
      <xdr:row>32</xdr:row>
      <xdr:rowOff>133351</xdr:rowOff>
    </xdr:from>
    <xdr:to>
      <xdr:col>31</xdr:col>
      <xdr:colOff>36957</xdr:colOff>
      <xdr:row>32</xdr:row>
      <xdr:rowOff>133351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 bwMode="auto">
        <a:xfrm>
          <a:off x="7658100" y="6581776"/>
          <a:ext cx="484632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28</xdr:row>
      <xdr:rowOff>123826</xdr:rowOff>
    </xdr:from>
    <xdr:to>
      <xdr:col>33</xdr:col>
      <xdr:colOff>123825</xdr:colOff>
      <xdr:row>30</xdr:row>
      <xdr:rowOff>24766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 bwMode="auto">
        <a:xfrm>
          <a:off x="8648700" y="5734051"/>
          <a:ext cx="0" cy="32004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26</xdr:row>
      <xdr:rowOff>38101</xdr:rowOff>
    </xdr:from>
    <xdr:to>
      <xdr:col>33</xdr:col>
      <xdr:colOff>123825</xdr:colOff>
      <xdr:row>27</xdr:row>
      <xdr:rowOff>102871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 bwMode="auto">
        <a:xfrm>
          <a:off x="8648700" y="5229226"/>
          <a:ext cx="0" cy="2743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23</xdr:row>
      <xdr:rowOff>200026</xdr:rowOff>
    </xdr:from>
    <xdr:to>
      <xdr:col>33</xdr:col>
      <xdr:colOff>123825</xdr:colOff>
      <xdr:row>25</xdr:row>
      <xdr:rowOff>11431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 bwMode="auto">
        <a:xfrm>
          <a:off x="8648700" y="4810126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31</xdr:row>
      <xdr:rowOff>1</xdr:rowOff>
    </xdr:from>
    <xdr:to>
      <xdr:col>33</xdr:col>
      <xdr:colOff>123825</xdr:colOff>
      <xdr:row>31</xdr:row>
      <xdr:rowOff>182881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 bwMode="auto">
        <a:xfrm>
          <a:off x="8648700" y="6238876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133350</xdr:colOff>
      <xdr:row>22</xdr:row>
      <xdr:rowOff>95250</xdr:rowOff>
    </xdr:from>
    <xdr:to>
      <xdr:col>15</xdr:col>
      <xdr:colOff>161925</xdr:colOff>
      <xdr:row>24</xdr:row>
      <xdr:rowOff>114301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3629025" y="4495800"/>
          <a:ext cx="1285875" cy="438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+mn-lt"/>
              <a:cs typeface="Times New Roman"/>
            </a:rPr>
            <a:t>¾</a:t>
          </a:r>
          <a:r>
            <a:rPr lang="en-US" sz="1000" b="1">
              <a:latin typeface="+mn-lt"/>
              <a:cs typeface="Times New Roman"/>
            </a:rPr>
            <a:t>" to 2" washed crushed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22</xdr:col>
      <xdr:colOff>142875</xdr:colOff>
      <xdr:row>23</xdr:row>
      <xdr:rowOff>38101</xdr:rowOff>
    </xdr:from>
    <xdr:to>
      <xdr:col>29</xdr:col>
      <xdr:colOff>47625</xdr:colOff>
      <xdr:row>25</xdr:row>
      <xdr:rowOff>76201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6362700" y="4648201"/>
          <a:ext cx="13716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1" baseline="0">
              <a:latin typeface="+mn-lt"/>
              <a:cs typeface="Times New Roman"/>
            </a:rPr>
            <a:t>6 </a:t>
          </a:r>
          <a:r>
            <a:rPr lang="en-US" sz="1000" b="1">
              <a:latin typeface="+mn-lt"/>
              <a:cs typeface="Times New Roman"/>
            </a:rPr>
            <a:t>oz. non-woven filter fabric around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32</xdr:col>
      <xdr:colOff>96116</xdr:colOff>
      <xdr:row>50</xdr:row>
      <xdr:rowOff>159327</xdr:rowOff>
    </xdr:from>
    <xdr:to>
      <xdr:col>32</xdr:col>
      <xdr:colOff>96116</xdr:colOff>
      <xdr:row>56</xdr:row>
      <xdr:rowOff>90747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/>
      </xdr:nvCxnSpPr>
      <xdr:spPr bwMode="auto">
        <a:xfrm>
          <a:off x="8411441" y="10379652"/>
          <a:ext cx="0" cy="11887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96116</xdr:colOff>
      <xdr:row>44</xdr:row>
      <xdr:rowOff>187902</xdr:rowOff>
    </xdr:from>
    <xdr:to>
      <xdr:col>32</xdr:col>
      <xdr:colOff>96116</xdr:colOff>
      <xdr:row>49</xdr:row>
      <xdr:rowOff>54552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 bwMode="auto">
        <a:xfrm flipV="1">
          <a:off x="8411441" y="9150927"/>
          <a:ext cx="0" cy="9144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26266</xdr:colOff>
      <xdr:row>50</xdr:row>
      <xdr:rowOff>22802</xdr:rowOff>
    </xdr:from>
    <xdr:to>
      <xdr:col>32</xdr:col>
      <xdr:colOff>103525</xdr:colOff>
      <xdr:row>50</xdr:row>
      <xdr:rowOff>152977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CxnSpPr/>
      </xdr:nvCxnSpPr>
      <xdr:spPr bwMode="auto">
        <a:xfrm flipH="1" flipV="1">
          <a:off x="8132041" y="10243127"/>
          <a:ext cx="286809" cy="1301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86593</xdr:colOff>
      <xdr:row>49</xdr:row>
      <xdr:rowOff>45030</xdr:rowOff>
    </xdr:from>
    <xdr:to>
      <xdr:col>34</xdr:col>
      <xdr:colOff>866</xdr:colOff>
      <xdr:row>49</xdr:row>
      <xdr:rowOff>149802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CxnSpPr/>
      </xdr:nvCxnSpPr>
      <xdr:spPr bwMode="auto">
        <a:xfrm flipH="1" flipV="1">
          <a:off x="8401918" y="10055805"/>
          <a:ext cx="333373" cy="10477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10391</xdr:colOff>
      <xdr:row>49</xdr:row>
      <xdr:rowOff>158269</xdr:rowOff>
    </xdr:from>
    <xdr:to>
      <xdr:col>34</xdr:col>
      <xdr:colOff>10391</xdr:colOff>
      <xdr:row>50</xdr:row>
      <xdr:rowOff>22803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CxnSpPr/>
      </xdr:nvCxnSpPr>
      <xdr:spPr bwMode="auto">
        <a:xfrm flipV="1">
          <a:off x="8116166" y="10169044"/>
          <a:ext cx="628650" cy="7408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102177</xdr:colOff>
      <xdr:row>41</xdr:row>
      <xdr:rowOff>173179</xdr:rowOff>
    </xdr:from>
    <xdr:to>
      <xdr:col>55</xdr:col>
      <xdr:colOff>102177</xdr:colOff>
      <xdr:row>48</xdr:row>
      <xdr:rowOff>169369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CxnSpPr/>
      </xdr:nvCxnSpPr>
      <xdr:spPr bwMode="auto">
        <a:xfrm flipV="1">
          <a:off x="13237152" y="8507554"/>
          <a:ext cx="0" cy="1463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102177</xdr:colOff>
      <xdr:row>50</xdr:row>
      <xdr:rowOff>51953</xdr:rowOff>
    </xdr:from>
    <xdr:to>
      <xdr:col>55</xdr:col>
      <xdr:colOff>102177</xdr:colOff>
      <xdr:row>59</xdr:row>
      <xdr:rowOff>86243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CxnSpPr/>
      </xdr:nvCxnSpPr>
      <xdr:spPr bwMode="auto">
        <a:xfrm>
          <a:off x="13237152" y="10272278"/>
          <a:ext cx="0" cy="19202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190500</xdr:colOff>
      <xdr:row>41</xdr:row>
      <xdr:rowOff>161541</xdr:rowOff>
    </xdr:from>
    <xdr:to>
      <xdr:col>55</xdr:col>
      <xdr:colOff>175260</xdr:colOff>
      <xdr:row>41</xdr:row>
      <xdr:rowOff>161541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 bwMode="auto">
        <a:xfrm>
          <a:off x="12487275" y="8495916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190499</xdr:colOff>
      <xdr:row>59</xdr:row>
      <xdr:rowOff>90054</xdr:rowOff>
    </xdr:from>
    <xdr:to>
      <xdr:col>55</xdr:col>
      <xdr:colOff>175259</xdr:colOff>
      <xdr:row>59</xdr:row>
      <xdr:rowOff>90054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CxnSpPr/>
      </xdr:nvCxnSpPr>
      <xdr:spPr bwMode="auto">
        <a:xfrm>
          <a:off x="12487274" y="12196329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115166</xdr:colOff>
      <xdr:row>59</xdr:row>
      <xdr:rowOff>14719</xdr:rowOff>
    </xdr:from>
    <xdr:to>
      <xdr:col>10</xdr:col>
      <xdr:colOff>115166</xdr:colOff>
      <xdr:row>62</xdr:row>
      <xdr:rowOff>26149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/>
      </xdr:nvCxnSpPr>
      <xdr:spPr bwMode="auto">
        <a:xfrm>
          <a:off x="4029941" y="12120994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95251</xdr:colOff>
      <xdr:row>59</xdr:row>
      <xdr:rowOff>17318</xdr:rowOff>
    </xdr:from>
    <xdr:to>
      <xdr:col>52</xdr:col>
      <xdr:colOff>95251</xdr:colOff>
      <xdr:row>62</xdr:row>
      <xdr:rowOff>28748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 bwMode="auto">
        <a:xfrm>
          <a:off x="12811126" y="12123593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123824</xdr:colOff>
      <xdr:row>61</xdr:row>
      <xdr:rowOff>118629</xdr:rowOff>
    </xdr:from>
    <xdr:to>
      <xdr:col>25</xdr:col>
      <xdr:colOff>89534</xdr:colOff>
      <xdr:row>61</xdr:row>
      <xdr:rowOff>118629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 bwMode="auto">
        <a:xfrm flipH="1">
          <a:off x="3829049" y="12644004"/>
          <a:ext cx="3108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29</xdr:col>
      <xdr:colOff>77065</xdr:colOff>
      <xdr:row>61</xdr:row>
      <xdr:rowOff>118629</xdr:rowOff>
    </xdr:from>
    <xdr:to>
      <xdr:col>52</xdr:col>
      <xdr:colOff>103735</xdr:colOff>
      <xdr:row>61</xdr:row>
      <xdr:rowOff>118629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CxnSpPr/>
      </xdr:nvCxnSpPr>
      <xdr:spPr bwMode="auto">
        <a:xfrm flipH="1">
          <a:off x="7763740" y="12644004"/>
          <a:ext cx="4846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8659</xdr:colOff>
      <xdr:row>39</xdr:row>
      <xdr:rowOff>38100</xdr:rowOff>
    </xdr:from>
    <xdr:to>
      <xdr:col>8</xdr:col>
      <xdr:colOff>8659</xdr:colOff>
      <xdr:row>40</xdr:row>
      <xdr:rowOff>148590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 bwMode="auto">
        <a:xfrm>
          <a:off x="3504334" y="7953375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9524</xdr:colOff>
      <xdr:row>39</xdr:row>
      <xdr:rowOff>38100</xdr:rowOff>
    </xdr:from>
    <xdr:to>
      <xdr:col>53</xdr:col>
      <xdr:colOff>9524</xdr:colOff>
      <xdr:row>40</xdr:row>
      <xdr:rowOff>148590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CxnSpPr/>
      </xdr:nvCxnSpPr>
      <xdr:spPr bwMode="auto">
        <a:xfrm>
          <a:off x="12725399" y="7953375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18185</xdr:colOff>
      <xdr:row>39</xdr:row>
      <xdr:rowOff>127287</xdr:rowOff>
    </xdr:from>
    <xdr:to>
      <xdr:col>32</xdr:col>
      <xdr:colOff>18185</xdr:colOff>
      <xdr:row>39</xdr:row>
      <xdr:rowOff>127287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CxnSpPr/>
      </xdr:nvCxnSpPr>
      <xdr:spPr bwMode="auto">
        <a:xfrm flipH="1">
          <a:off x="3513860" y="8042562"/>
          <a:ext cx="5029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27707</xdr:colOff>
      <xdr:row>39</xdr:row>
      <xdr:rowOff>127287</xdr:rowOff>
    </xdr:from>
    <xdr:to>
      <xdr:col>52</xdr:col>
      <xdr:colOff>195347</xdr:colOff>
      <xdr:row>39</xdr:row>
      <xdr:rowOff>127287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CxnSpPr/>
      </xdr:nvCxnSpPr>
      <xdr:spPr bwMode="auto">
        <a:xfrm flipH="1">
          <a:off x="9181232" y="8042562"/>
          <a:ext cx="35204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45028</xdr:colOff>
      <xdr:row>41</xdr:row>
      <xdr:rowOff>11257</xdr:rowOff>
    </xdr:from>
    <xdr:to>
      <xdr:col>58</xdr:col>
      <xdr:colOff>94558</xdr:colOff>
      <xdr:row>41</xdr:row>
      <xdr:rowOff>11257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CxnSpPr/>
      </xdr:nvCxnSpPr>
      <xdr:spPr bwMode="auto">
        <a:xfrm>
          <a:off x="12760903" y="8345632"/>
          <a:ext cx="10972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34636</xdr:colOff>
      <xdr:row>59</xdr:row>
      <xdr:rowOff>201273</xdr:rowOff>
    </xdr:from>
    <xdr:to>
      <xdr:col>58</xdr:col>
      <xdr:colOff>84166</xdr:colOff>
      <xdr:row>59</xdr:row>
      <xdr:rowOff>201273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CxnSpPr/>
      </xdr:nvCxnSpPr>
      <xdr:spPr bwMode="auto">
        <a:xfrm>
          <a:off x="12750511" y="12307548"/>
          <a:ext cx="10972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57</xdr:col>
      <xdr:colOff>197427</xdr:colOff>
      <xdr:row>41</xdr:row>
      <xdr:rowOff>11256</xdr:rowOff>
    </xdr:from>
    <xdr:to>
      <xdr:col>57</xdr:col>
      <xdr:colOff>197427</xdr:colOff>
      <xdr:row>50</xdr:row>
      <xdr:rowOff>136986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CxnSpPr/>
      </xdr:nvCxnSpPr>
      <xdr:spPr bwMode="auto">
        <a:xfrm flipV="1">
          <a:off x="13751502" y="8345631"/>
          <a:ext cx="0" cy="20116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57</xdr:col>
      <xdr:colOff>197427</xdr:colOff>
      <xdr:row>52</xdr:row>
      <xdr:rowOff>103909</xdr:rowOff>
    </xdr:from>
    <xdr:to>
      <xdr:col>57</xdr:col>
      <xdr:colOff>197427</xdr:colOff>
      <xdr:row>59</xdr:row>
      <xdr:rowOff>191539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CxnSpPr/>
      </xdr:nvCxnSpPr>
      <xdr:spPr bwMode="auto">
        <a:xfrm>
          <a:off x="13751502" y="10743334"/>
          <a:ext cx="0" cy="1554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107372</xdr:colOff>
      <xdr:row>44</xdr:row>
      <xdr:rowOff>97848</xdr:rowOff>
    </xdr:from>
    <xdr:to>
      <xdr:col>16</xdr:col>
      <xdr:colOff>107372</xdr:colOff>
      <xdr:row>45</xdr:row>
      <xdr:rowOff>25458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CxnSpPr/>
      </xdr:nvCxnSpPr>
      <xdr:spPr bwMode="auto">
        <a:xfrm>
          <a:off x="5069897" y="9060873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48490</xdr:colOff>
      <xdr:row>44</xdr:row>
      <xdr:rowOff>97848</xdr:rowOff>
    </xdr:from>
    <xdr:to>
      <xdr:col>21</xdr:col>
      <xdr:colOff>48490</xdr:colOff>
      <xdr:row>45</xdr:row>
      <xdr:rowOff>25458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CxnSpPr/>
      </xdr:nvCxnSpPr>
      <xdr:spPr bwMode="auto">
        <a:xfrm>
          <a:off x="6058765" y="9060873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116897</xdr:colOff>
      <xdr:row>44</xdr:row>
      <xdr:rowOff>170584</xdr:rowOff>
    </xdr:from>
    <xdr:to>
      <xdr:col>21</xdr:col>
      <xdr:colOff>37926</xdr:colOff>
      <xdr:row>44</xdr:row>
      <xdr:rowOff>170584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CxnSpPr/>
      </xdr:nvCxnSpPr>
      <xdr:spPr bwMode="auto">
        <a:xfrm flipH="1">
          <a:off x="5079422" y="9133609"/>
          <a:ext cx="96877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10</xdr:col>
      <xdr:colOff>67541</xdr:colOff>
      <xdr:row>41</xdr:row>
      <xdr:rowOff>123132</xdr:rowOff>
    </xdr:from>
    <xdr:to>
      <xdr:col>53</xdr:col>
      <xdr:colOff>866</xdr:colOff>
      <xdr:row>44</xdr:row>
      <xdr:rowOff>61410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3772766" y="8457507"/>
          <a:ext cx="8943975" cy="566928"/>
        </a:xfrm>
        <a:prstGeom prst="rect">
          <a:avLst/>
        </a:prstGeom>
      </xdr:spPr>
    </xdr:pic>
    <xdr:clientData/>
  </xdr:twoCellAnchor>
  <xdr:twoCellAnchor editAs="oneCell">
    <xdr:from>
      <xdr:col>10</xdr:col>
      <xdr:colOff>67541</xdr:colOff>
      <xdr:row>56</xdr:row>
      <xdr:rowOff>178377</xdr:rowOff>
    </xdr:from>
    <xdr:to>
      <xdr:col>53</xdr:col>
      <xdr:colOff>866</xdr:colOff>
      <xdr:row>59</xdr:row>
      <xdr:rowOff>116655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3772766" y="11656002"/>
          <a:ext cx="8943975" cy="566928"/>
        </a:xfrm>
        <a:prstGeom prst="rect">
          <a:avLst/>
        </a:prstGeom>
      </xdr:spPr>
    </xdr:pic>
    <xdr:clientData/>
  </xdr:twoCellAnchor>
  <xdr:twoCellAnchor>
    <xdr:from>
      <xdr:col>14</xdr:col>
      <xdr:colOff>162790</xdr:colOff>
      <xdr:row>60</xdr:row>
      <xdr:rowOff>11257</xdr:rowOff>
    </xdr:from>
    <xdr:to>
      <xdr:col>14</xdr:col>
      <xdr:colOff>162790</xdr:colOff>
      <xdr:row>60</xdr:row>
      <xdr:rowOff>195869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CxnSpPr/>
      </xdr:nvCxnSpPr>
      <xdr:spPr bwMode="auto">
        <a:xfrm flipH="1">
          <a:off x="4706215" y="12327082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153266</xdr:colOff>
      <xdr:row>58</xdr:row>
      <xdr:rowOff>102177</xdr:rowOff>
    </xdr:from>
    <xdr:to>
      <xdr:col>14</xdr:col>
      <xdr:colOff>153266</xdr:colOff>
      <xdr:row>59</xdr:row>
      <xdr:rowOff>77239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CxnSpPr/>
      </xdr:nvCxnSpPr>
      <xdr:spPr bwMode="auto">
        <a:xfrm flipH="1">
          <a:off x="4696691" y="11998902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38966</xdr:colOff>
      <xdr:row>55</xdr:row>
      <xdr:rowOff>206952</xdr:rowOff>
    </xdr:from>
    <xdr:to>
      <xdr:col>51</xdr:col>
      <xdr:colOff>38966</xdr:colOff>
      <xdr:row>56</xdr:row>
      <xdr:rowOff>152850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CxnSpPr/>
      </xdr:nvCxnSpPr>
      <xdr:spPr bwMode="auto">
        <a:xfrm>
          <a:off x="12335741" y="11475027"/>
          <a:ext cx="0" cy="15544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86591</xdr:colOff>
      <xdr:row>55</xdr:row>
      <xdr:rowOff>206952</xdr:rowOff>
    </xdr:from>
    <xdr:to>
      <xdr:col>52</xdr:col>
      <xdr:colOff>86591</xdr:colOff>
      <xdr:row>57</xdr:row>
      <xdr:rowOff>62172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CxnSpPr/>
      </xdr:nvCxnSpPr>
      <xdr:spPr bwMode="auto">
        <a:xfrm>
          <a:off x="12592916" y="11475027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38966</xdr:colOff>
      <xdr:row>56</xdr:row>
      <xdr:rowOff>35502</xdr:rowOff>
    </xdr:from>
    <xdr:to>
      <xdr:col>52</xdr:col>
      <xdr:colOff>85448</xdr:colOff>
      <xdr:row>56</xdr:row>
      <xdr:rowOff>35502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CxnSpPr/>
      </xdr:nvCxnSpPr>
      <xdr:spPr bwMode="auto">
        <a:xfrm flipH="1">
          <a:off x="12335741" y="11513127"/>
          <a:ext cx="25603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162791</xdr:colOff>
      <xdr:row>44</xdr:row>
      <xdr:rowOff>141144</xdr:rowOff>
    </xdr:from>
    <xdr:to>
      <xdr:col>52</xdr:col>
      <xdr:colOff>90401</xdr:colOff>
      <xdr:row>44</xdr:row>
      <xdr:rowOff>141144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CxnSpPr/>
      </xdr:nvCxnSpPr>
      <xdr:spPr bwMode="auto">
        <a:xfrm flipH="1">
          <a:off x="12459566" y="9104169"/>
          <a:ext cx="1371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13855</xdr:colOff>
      <xdr:row>44</xdr:row>
      <xdr:rowOff>141143</xdr:rowOff>
    </xdr:from>
    <xdr:to>
      <xdr:col>53</xdr:col>
      <xdr:colOff>151015</xdr:colOff>
      <xdr:row>44</xdr:row>
      <xdr:rowOff>141143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CxnSpPr/>
      </xdr:nvCxnSpPr>
      <xdr:spPr bwMode="auto">
        <a:xfrm flipH="1">
          <a:off x="12729730" y="9104168"/>
          <a:ext cx="1371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90054</xdr:colOff>
      <xdr:row>43</xdr:row>
      <xdr:rowOff>140277</xdr:rowOff>
    </xdr:from>
    <xdr:to>
      <xdr:col>52</xdr:col>
      <xdr:colOff>90054</xdr:colOff>
      <xdr:row>44</xdr:row>
      <xdr:rowOff>205047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CxnSpPr/>
      </xdr:nvCxnSpPr>
      <xdr:spPr bwMode="auto">
        <a:xfrm>
          <a:off x="12596379" y="8893752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32</xdr:col>
      <xdr:colOff>94043</xdr:colOff>
      <xdr:row>1</xdr:row>
      <xdr:rowOff>209549</xdr:rowOff>
    </xdr:from>
    <xdr:to>
      <xdr:col>39</xdr:col>
      <xdr:colOff>85725</xdr:colOff>
      <xdr:row>3</xdr:row>
      <xdr:rowOff>161925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8918" y="447674"/>
          <a:ext cx="1458532" cy="371476"/>
        </a:xfrm>
        <a:prstGeom prst="rect">
          <a:avLst/>
        </a:prstGeom>
      </xdr:spPr>
    </xdr:pic>
    <xdr:clientData/>
  </xdr:twoCellAnchor>
  <xdr:twoCellAnchor>
    <xdr:from>
      <xdr:col>13</xdr:col>
      <xdr:colOff>152400</xdr:colOff>
      <xdr:row>23</xdr:row>
      <xdr:rowOff>180975</xdr:rowOff>
    </xdr:from>
    <xdr:to>
      <xdr:col>16</xdr:col>
      <xdr:colOff>95250</xdr:colOff>
      <xdr:row>26</xdr:row>
      <xdr:rowOff>0</xdr:rowOff>
    </xdr:to>
    <xdr:cxnSp macro="">
      <xdr:nvCxnSpPr>
        <xdr:cNvPr id="103" name="Curved Connector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CxnSpPr/>
      </xdr:nvCxnSpPr>
      <xdr:spPr bwMode="auto">
        <a:xfrm>
          <a:off x="4486275" y="4791075"/>
          <a:ext cx="571500" cy="400050"/>
        </a:xfrm>
        <a:prstGeom prst="curvedConnector3">
          <a:avLst>
            <a:gd name="adj1" fmla="val 3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208025</xdr:colOff>
      <xdr:row>42</xdr:row>
      <xdr:rowOff>90490</xdr:rowOff>
    </xdr:from>
    <xdr:to>
      <xdr:col>10</xdr:col>
      <xdr:colOff>209549</xdr:colOff>
      <xdr:row>46</xdr:row>
      <xdr:rowOff>29530</xdr:rowOff>
    </xdr:to>
    <xdr:sp macro="" textlink="">
      <xdr:nvSpPr>
        <xdr:cNvPr id="2" name="L-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3315842" y="8812723"/>
          <a:ext cx="777240" cy="420624"/>
        </a:xfrm>
        <a:prstGeom prst="corner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209549</xdr:colOff>
      <xdr:row>54</xdr:row>
      <xdr:rowOff>200024</xdr:rowOff>
    </xdr:from>
    <xdr:to>
      <xdr:col>11</xdr:col>
      <xdr:colOff>1523</xdr:colOff>
      <xdr:row>58</xdr:row>
      <xdr:rowOff>139064</xdr:rowOff>
    </xdr:to>
    <xdr:sp macro="" textlink="">
      <xdr:nvSpPr>
        <xdr:cNvPr id="104" name="L-Shape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3495674" y="11258549"/>
          <a:ext cx="420624" cy="777240"/>
        </a:xfrm>
        <a:prstGeom prst="corner">
          <a:avLst>
            <a:gd name="adj1" fmla="val 50000"/>
            <a:gd name="adj2" fmla="val 5215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13</xdr:row>
          <xdr:rowOff>200025</xdr:rowOff>
        </xdr:from>
        <xdr:to>
          <xdr:col>3</xdr:col>
          <xdr:colOff>200025</xdr:colOff>
          <xdr:row>15</xdr:row>
          <xdr:rowOff>9525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15</xdr:row>
          <xdr:rowOff>200025</xdr:rowOff>
        </xdr:from>
        <xdr:to>
          <xdr:col>3</xdr:col>
          <xdr:colOff>200025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178378</xdr:colOff>
      <xdr:row>42</xdr:row>
      <xdr:rowOff>116413</xdr:rowOff>
    </xdr:from>
    <xdr:to>
      <xdr:col>6</xdr:col>
      <xdr:colOff>178378</xdr:colOff>
      <xdr:row>48</xdr:row>
      <xdr:rowOff>139273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CxnSpPr/>
      </xdr:nvCxnSpPr>
      <xdr:spPr bwMode="auto">
        <a:xfrm flipV="1">
          <a:off x="3045403" y="8660338"/>
          <a:ext cx="0" cy="1280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178378</xdr:colOff>
      <xdr:row>50</xdr:row>
      <xdr:rowOff>61862</xdr:rowOff>
    </xdr:from>
    <xdr:to>
      <xdr:col>6</xdr:col>
      <xdr:colOff>178378</xdr:colOff>
      <xdr:row>58</xdr:row>
      <xdr:rowOff>122822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CxnSpPr/>
      </xdr:nvCxnSpPr>
      <xdr:spPr bwMode="auto">
        <a:xfrm>
          <a:off x="3045403" y="10282187"/>
          <a:ext cx="0" cy="17373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</xdr:colOff>
      <xdr:row>42</xdr:row>
      <xdr:rowOff>104775</xdr:rowOff>
    </xdr:from>
    <xdr:to>
      <xdr:col>8</xdr:col>
      <xdr:colOff>129541</xdr:colOff>
      <xdr:row>42</xdr:row>
      <xdr:rowOff>104775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CxnSpPr/>
      </xdr:nvCxnSpPr>
      <xdr:spPr bwMode="auto">
        <a:xfrm>
          <a:off x="3076576" y="8648700"/>
          <a:ext cx="5486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58</xdr:row>
      <xdr:rowOff>138063</xdr:rowOff>
    </xdr:from>
    <xdr:to>
      <xdr:col>8</xdr:col>
      <xdr:colOff>129540</xdr:colOff>
      <xdr:row>58</xdr:row>
      <xdr:rowOff>138063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CxnSpPr/>
      </xdr:nvCxnSpPr>
      <xdr:spPr bwMode="auto">
        <a:xfrm>
          <a:off x="3076575" y="12034788"/>
          <a:ext cx="5486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19</xdr:row>
          <xdr:rowOff>200025</xdr:rowOff>
        </xdr:from>
        <xdr:to>
          <xdr:col>3</xdr:col>
          <xdr:colOff>200025</xdr:colOff>
          <xdr:row>21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114300</xdr:colOff>
      <xdr:row>51</xdr:row>
      <xdr:rowOff>0</xdr:rowOff>
    </xdr:from>
    <xdr:to>
      <xdr:col>9</xdr:col>
      <xdr:colOff>114300</xdr:colOff>
      <xdr:row>54</xdr:row>
      <xdr:rowOff>194310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CxnSpPr/>
      </xdr:nvCxnSpPr>
      <xdr:spPr bwMode="auto">
        <a:xfrm>
          <a:off x="3819525" y="10429875"/>
          <a:ext cx="0" cy="8229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114300</xdr:colOff>
      <xdr:row>46</xdr:row>
      <xdr:rowOff>29654</xdr:rowOff>
    </xdr:from>
    <xdr:to>
      <xdr:col>9</xdr:col>
      <xdr:colOff>114300</xdr:colOff>
      <xdr:row>50</xdr:row>
      <xdr:rowOff>64447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CxnSpPr/>
      </xdr:nvCxnSpPr>
      <xdr:spPr bwMode="auto">
        <a:xfrm flipV="1">
          <a:off x="3816470" y="9364154"/>
          <a:ext cx="0" cy="8686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3594</xdr:colOff>
      <xdr:row>50</xdr:row>
      <xdr:rowOff>144134</xdr:rowOff>
    </xdr:from>
    <xdr:to>
      <xdr:col>9</xdr:col>
      <xdr:colOff>115019</xdr:colOff>
      <xdr:row>51</xdr:row>
      <xdr:rowOff>3595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CxnSpPr/>
      </xdr:nvCxnSpPr>
      <xdr:spPr bwMode="auto">
        <a:xfrm flipH="1" flipV="1">
          <a:off x="3705764" y="10312521"/>
          <a:ext cx="111425" cy="6793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115019</xdr:colOff>
      <xdr:row>50</xdr:row>
      <xdr:rowOff>57509</xdr:rowOff>
    </xdr:from>
    <xdr:to>
      <xdr:col>10</xdr:col>
      <xdr:colOff>25161</xdr:colOff>
      <xdr:row>50</xdr:row>
      <xdr:rowOff>125803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/>
      </xdr:nvCxnSpPr>
      <xdr:spPr bwMode="auto">
        <a:xfrm flipH="1" flipV="1">
          <a:off x="3817189" y="10225896"/>
          <a:ext cx="118614" cy="6829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204876</xdr:colOff>
      <xdr:row>50</xdr:row>
      <xdr:rowOff>125802</xdr:rowOff>
    </xdr:from>
    <xdr:to>
      <xdr:col>10</xdr:col>
      <xdr:colOff>32349</xdr:colOff>
      <xdr:row>50</xdr:row>
      <xdr:rowOff>142878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CxnSpPr/>
      </xdr:nvCxnSpPr>
      <xdr:spPr bwMode="auto">
        <a:xfrm flipV="1">
          <a:off x="3698574" y="10294189"/>
          <a:ext cx="244417" cy="1707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</xdr:colOff>
      <xdr:row>59</xdr:row>
      <xdr:rowOff>19050</xdr:rowOff>
    </xdr:from>
    <xdr:to>
      <xdr:col>9</xdr:col>
      <xdr:colOff>9525</xdr:colOff>
      <xdr:row>62</xdr:row>
      <xdr:rowOff>30480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CxnSpPr/>
      </xdr:nvCxnSpPr>
      <xdr:spPr bwMode="auto">
        <a:xfrm>
          <a:off x="3714750" y="12125325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60</xdr:row>
      <xdr:rowOff>38100</xdr:rowOff>
    </xdr:from>
    <xdr:to>
      <xdr:col>8</xdr:col>
      <xdr:colOff>0</xdr:colOff>
      <xdr:row>62</xdr:row>
      <xdr:rowOff>30480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CxnSpPr/>
      </xdr:nvCxnSpPr>
      <xdr:spPr bwMode="auto">
        <a:xfrm>
          <a:off x="3495675" y="12353925"/>
          <a:ext cx="0" cy="411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</xdr:colOff>
      <xdr:row>61</xdr:row>
      <xdr:rowOff>114300</xdr:rowOff>
    </xdr:from>
    <xdr:to>
      <xdr:col>10</xdr:col>
      <xdr:colOff>120015</xdr:colOff>
      <xdr:row>61</xdr:row>
      <xdr:rowOff>114300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CxnSpPr/>
      </xdr:nvCxnSpPr>
      <xdr:spPr bwMode="auto">
        <a:xfrm flipH="1">
          <a:off x="3714750" y="12639675"/>
          <a:ext cx="3200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61</xdr:row>
      <xdr:rowOff>114300</xdr:rowOff>
    </xdr:from>
    <xdr:to>
      <xdr:col>9</xdr:col>
      <xdr:colOff>9906</xdr:colOff>
      <xdr:row>61</xdr:row>
      <xdr:rowOff>114300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CxnSpPr/>
      </xdr:nvCxnSpPr>
      <xdr:spPr bwMode="auto">
        <a:xfrm flipH="1">
          <a:off x="3495675" y="12639675"/>
          <a:ext cx="21945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11</xdr:row>
          <xdr:rowOff>200025</xdr:rowOff>
        </xdr:from>
        <xdr:to>
          <xdr:col>3</xdr:col>
          <xdr:colOff>200025</xdr:colOff>
          <xdr:row>13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17</xdr:row>
          <xdr:rowOff>200025</xdr:rowOff>
        </xdr:from>
        <xdr:to>
          <xdr:col>3</xdr:col>
          <xdr:colOff>200025</xdr:colOff>
          <xdr:row>19</xdr:row>
          <xdr:rowOff>9525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</xdr:row>
          <xdr:rowOff>200025</xdr:rowOff>
        </xdr:from>
        <xdr:to>
          <xdr:col>3</xdr:col>
          <xdr:colOff>200025</xdr:colOff>
          <xdr:row>5</xdr:row>
          <xdr:rowOff>9525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6</xdr:row>
          <xdr:rowOff>200025</xdr:rowOff>
        </xdr:from>
        <xdr:to>
          <xdr:col>3</xdr:col>
          <xdr:colOff>200025</xdr:colOff>
          <xdr:row>8</xdr:row>
          <xdr:rowOff>9525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180975</xdr:colOff>
      <xdr:row>4</xdr:row>
      <xdr:rowOff>161925</xdr:rowOff>
    </xdr:from>
    <xdr:to>
      <xdr:col>16</xdr:col>
      <xdr:colOff>155879</xdr:colOff>
      <xdr:row>10</xdr:row>
      <xdr:rowOff>52748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7100" y="1028700"/>
          <a:ext cx="1860854" cy="1148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95249</xdr:colOff>
      <xdr:row>4</xdr:row>
      <xdr:rowOff>0</xdr:rowOff>
    </xdr:from>
    <xdr:to>
      <xdr:col>39</xdr:col>
      <xdr:colOff>104776</xdr:colOff>
      <xdr:row>35</xdr:row>
      <xdr:rowOff>133350</xdr:rowOff>
    </xdr:to>
    <xdr:sp macro="" textlink="">
      <xdr:nvSpPr>
        <xdr:cNvPr id="5" name="Round Diagonal Corner 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3171824" y="866775"/>
          <a:ext cx="6924677" cy="6581775"/>
        </a:xfrm>
        <a:prstGeom prst="round2DiagRect">
          <a:avLst/>
        </a:prstGeom>
        <a:noFill/>
        <a:ln w="317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114300</xdr:colOff>
      <xdr:row>23</xdr:row>
      <xdr:rowOff>104776</xdr:rowOff>
    </xdr:from>
    <xdr:to>
      <xdr:col>32</xdr:col>
      <xdr:colOff>179070</xdr:colOff>
      <xdr:row>31</xdr:row>
      <xdr:rowOff>170376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5"/>
        <a:stretch/>
      </xdr:blipFill>
      <xdr:spPr>
        <a:xfrm>
          <a:off x="3400425" y="4953001"/>
          <a:ext cx="5303520" cy="1694375"/>
        </a:xfrm>
        <a:prstGeom prst="rect">
          <a:avLst/>
        </a:prstGeom>
      </xdr:spPr>
    </xdr:pic>
    <xdr:clientData/>
  </xdr:twoCellAnchor>
  <xdr:twoCellAnchor>
    <xdr:from>
      <xdr:col>36</xdr:col>
      <xdr:colOff>9525</xdr:colOff>
      <xdr:row>25</xdr:row>
      <xdr:rowOff>19050</xdr:rowOff>
    </xdr:from>
    <xdr:to>
      <xdr:col>36</xdr:col>
      <xdr:colOff>9525</xdr:colOff>
      <xdr:row>25</xdr:row>
      <xdr:rowOff>201930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 bwMode="auto">
        <a:xfrm>
          <a:off x="9372600" y="5238750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9525</xdr:colOff>
      <xdr:row>28</xdr:row>
      <xdr:rowOff>161925</xdr:rowOff>
    </xdr:from>
    <xdr:to>
      <xdr:col>36</xdr:col>
      <xdr:colOff>9525</xdr:colOff>
      <xdr:row>30</xdr:row>
      <xdr:rowOff>200025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 bwMode="auto">
        <a:xfrm>
          <a:off x="9372600" y="6010275"/>
          <a:ext cx="0" cy="4572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95250</xdr:colOff>
      <xdr:row>33</xdr:row>
      <xdr:rowOff>123826</xdr:rowOff>
    </xdr:from>
    <xdr:to>
      <xdr:col>19</xdr:col>
      <xdr:colOff>167640</xdr:colOff>
      <xdr:row>33</xdr:row>
      <xdr:rowOff>123826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 bwMode="auto">
        <a:xfrm>
          <a:off x="3590925" y="7019926"/>
          <a:ext cx="23774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47625</xdr:colOff>
      <xdr:row>33</xdr:row>
      <xdr:rowOff>123826</xdr:rowOff>
    </xdr:from>
    <xdr:to>
      <xdr:col>32</xdr:col>
      <xdr:colOff>51435</xdr:colOff>
      <xdr:row>33</xdr:row>
      <xdr:rowOff>123826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 bwMode="auto">
        <a:xfrm>
          <a:off x="7524750" y="7019926"/>
          <a:ext cx="105156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95250</xdr:colOff>
      <xdr:row>31</xdr:row>
      <xdr:rowOff>1</xdr:rowOff>
    </xdr:from>
    <xdr:to>
      <xdr:col>36</xdr:col>
      <xdr:colOff>80010</xdr:colOff>
      <xdr:row>31</xdr:row>
      <xdr:rowOff>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 bwMode="auto">
        <a:xfrm>
          <a:off x="8620125" y="6477001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85725</xdr:colOff>
      <xdr:row>31</xdr:row>
      <xdr:rowOff>19051</xdr:rowOff>
    </xdr:from>
    <xdr:to>
      <xdr:col>8</xdr:col>
      <xdr:colOff>85725</xdr:colOff>
      <xdr:row>34</xdr:row>
      <xdr:rowOff>30481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 bwMode="auto">
        <a:xfrm>
          <a:off x="3581400" y="6496051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57150</xdr:colOff>
      <xdr:row>31</xdr:row>
      <xdr:rowOff>28576</xdr:rowOff>
    </xdr:from>
    <xdr:to>
      <xdr:col>32</xdr:col>
      <xdr:colOff>57150</xdr:colOff>
      <xdr:row>34</xdr:row>
      <xdr:rowOff>40006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 bwMode="auto">
        <a:xfrm>
          <a:off x="8582025" y="6505576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104775</xdr:colOff>
      <xdr:row>25</xdr:row>
      <xdr:rowOff>19051</xdr:rowOff>
    </xdr:from>
    <xdr:to>
      <xdr:col>36</xdr:col>
      <xdr:colOff>89535</xdr:colOff>
      <xdr:row>25</xdr:row>
      <xdr:rowOff>19051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 bwMode="auto">
        <a:xfrm>
          <a:off x="8629650" y="5238751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66675</xdr:colOff>
      <xdr:row>30</xdr:row>
      <xdr:rowOff>28576</xdr:rowOff>
    </xdr:from>
    <xdr:to>
      <xdr:col>34</xdr:col>
      <xdr:colOff>32385</xdr:colOff>
      <xdr:row>30</xdr:row>
      <xdr:rowOff>28576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 bwMode="auto">
        <a:xfrm>
          <a:off x="8382000" y="6296026"/>
          <a:ext cx="5943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0</xdr:colOff>
      <xdr:row>26</xdr:row>
      <xdr:rowOff>38101</xdr:rowOff>
    </xdr:from>
    <xdr:to>
      <xdr:col>34</xdr:col>
      <xdr:colOff>68580</xdr:colOff>
      <xdr:row>26</xdr:row>
      <xdr:rowOff>38101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 bwMode="auto">
        <a:xfrm>
          <a:off x="7686675" y="5467351"/>
          <a:ext cx="1325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95250</xdr:colOff>
      <xdr:row>30</xdr:row>
      <xdr:rowOff>57151</xdr:rowOff>
    </xdr:from>
    <xdr:to>
      <xdr:col>9</xdr:col>
      <xdr:colOff>95250</xdr:colOff>
      <xdr:row>32</xdr:row>
      <xdr:rowOff>186691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 bwMode="auto">
        <a:xfrm>
          <a:off x="3800475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57150</xdr:colOff>
      <xdr:row>30</xdr:row>
      <xdr:rowOff>57151</xdr:rowOff>
    </xdr:from>
    <xdr:to>
      <xdr:col>16</xdr:col>
      <xdr:colOff>57150</xdr:colOff>
      <xdr:row>32</xdr:row>
      <xdr:rowOff>186691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 bwMode="auto">
        <a:xfrm>
          <a:off x="5229225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200025</xdr:colOff>
      <xdr:row>30</xdr:row>
      <xdr:rowOff>57151</xdr:rowOff>
    </xdr:from>
    <xdr:to>
      <xdr:col>16</xdr:col>
      <xdr:colOff>200025</xdr:colOff>
      <xdr:row>32</xdr:row>
      <xdr:rowOff>186691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 bwMode="auto">
        <a:xfrm>
          <a:off x="5372100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85725</xdr:colOff>
      <xdr:row>30</xdr:row>
      <xdr:rowOff>57151</xdr:rowOff>
    </xdr:from>
    <xdr:to>
      <xdr:col>24</xdr:col>
      <xdr:colOff>85725</xdr:colOff>
      <xdr:row>32</xdr:row>
      <xdr:rowOff>186691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 bwMode="auto">
        <a:xfrm>
          <a:off x="6934200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38100</xdr:colOff>
      <xdr:row>30</xdr:row>
      <xdr:rowOff>57151</xdr:rowOff>
    </xdr:from>
    <xdr:to>
      <xdr:col>31</xdr:col>
      <xdr:colOff>38100</xdr:colOff>
      <xdr:row>32</xdr:row>
      <xdr:rowOff>186691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 bwMode="auto">
        <a:xfrm>
          <a:off x="8353425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95250</xdr:colOff>
      <xdr:row>32</xdr:row>
      <xdr:rowOff>123826</xdr:rowOff>
    </xdr:from>
    <xdr:to>
      <xdr:col>10</xdr:col>
      <xdr:colOff>114300</xdr:colOff>
      <xdr:row>32</xdr:row>
      <xdr:rowOff>123826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 bwMode="auto">
        <a:xfrm>
          <a:off x="3800475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66675</xdr:colOff>
      <xdr:row>32</xdr:row>
      <xdr:rowOff>123826</xdr:rowOff>
    </xdr:from>
    <xdr:to>
      <xdr:col>8</xdr:col>
      <xdr:colOff>85725</xdr:colOff>
      <xdr:row>32</xdr:row>
      <xdr:rowOff>123826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 bwMode="auto">
        <a:xfrm>
          <a:off x="3352800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0</xdr:colOff>
      <xdr:row>32</xdr:row>
      <xdr:rowOff>123826</xdr:rowOff>
    </xdr:from>
    <xdr:to>
      <xdr:col>18</xdr:col>
      <xdr:colOff>19050</xdr:colOff>
      <xdr:row>32</xdr:row>
      <xdr:rowOff>123826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 bwMode="auto">
        <a:xfrm>
          <a:off x="5381625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28575</xdr:colOff>
      <xdr:row>32</xdr:row>
      <xdr:rowOff>123826</xdr:rowOff>
    </xdr:from>
    <xdr:to>
      <xdr:col>16</xdr:col>
      <xdr:colOff>47625</xdr:colOff>
      <xdr:row>32</xdr:row>
      <xdr:rowOff>123826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 bwMode="auto">
        <a:xfrm>
          <a:off x="4991100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76200</xdr:colOff>
      <xdr:row>32</xdr:row>
      <xdr:rowOff>133351</xdr:rowOff>
    </xdr:from>
    <xdr:to>
      <xdr:col>26</xdr:col>
      <xdr:colOff>205740</xdr:colOff>
      <xdr:row>32</xdr:row>
      <xdr:rowOff>133351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 bwMode="auto">
        <a:xfrm>
          <a:off x="6924675" y="6819901"/>
          <a:ext cx="5486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180975</xdr:colOff>
      <xdr:row>32</xdr:row>
      <xdr:rowOff>133351</xdr:rowOff>
    </xdr:from>
    <xdr:to>
      <xdr:col>31</xdr:col>
      <xdr:colOff>36957</xdr:colOff>
      <xdr:row>32</xdr:row>
      <xdr:rowOff>133351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 bwMode="auto">
        <a:xfrm>
          <a:off x="7867650" y="6819901"/>
          <a:ext cx="484632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28</xdr:row>
      <xdr:rowOff>123826</xdr:rowOff>
    </xdr:from>
    <xdr:to>
      <xdr:col>33</xdr:col>
      <xdr:colOff>123825</xdr:colOff>
      <xdr:row>30</xdr:row>
      <xdr:rowOff>24766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 bwMode="auto">
        <a:xfrm>
          <a:off x="8858250" y="5972176"/>
          <a:ext cx="0" cy="32004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26</xdr:row>
      <xdr:rowOff>38101</xdr:rowOff>
    </xdr:from>
    <xdr:to>
      <xdr:col>33</xdr:col>
      <xdr:colOff>123825</xdr:colOff>
      <xdr:row>27</xdr:row>
      <xdr:rowOff>102871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 bwMode="auto">
        <a:xfrm>
          <a:off x="8858250" y="5467351"/>
          <a:ext cx="0" cy="2743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23</xdr:row>
      <xdr:rowOff>200026</xdr:rowOff>
    </xdr:from>
    <xdr:to>
      <xdr:col>33</xdr:col>
      <xdr:colOff>123825</xdr:colOff>
      <xdr:row>25</xdr:row>
      <xdr:rowOff>11431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 bwMode="auto">
        <a:xfrm>
          <a:off x="8858250" y="5048251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31</xdr:row>
      <xdr:rowOff>1</xdr:rowOff>
    </xdr:from>
    <xdr:to>
      <xdr:col>33</xdr:col>
      <xdr:colOff>123825</xdr:colOff>
      <xdr:row>31</xdr:row>
      <xdr:rowOff>182881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 bwMode="auto">
        <a:xfrm>
          <a:off x="8858250" y="6477001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133350</xdr:colOff>
      <xdr:row>22</xdr:row>
      <xdr:rowOff>95250</xdr:rowOff>
    </xdr:from>
    <xdr:to>
      <xdr:col>15</xdr:col>
      <xdr:colOff>161925</xdr:colOff>
      <xdr:row>24</xdr:row>
      <xdr:rowOff>114301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3838575" y="4733925"/>
          <a:ext cx="1285875" cy="438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+mn-lt"/>
              <a:cs typeface="Times New Roman"/>
            </a:rPr>
            <a:t>¾</a:t>
          </a:r>
          <a:r>
            <a:rPr lang="en-US" sz="1000" b="1">
              <a:latin typeface="+mn-lt"/>
              <a:cs typeface="Times New Roman"/>
            </a:rPr>
            <a:t>" to 2" washed crushed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22</xdr:col>
      <xdr:colOff>142875</xdr:colOff>
      <xdr:row>23</xdr:row>
      <xdr:rowOff>38101</xdr:rowOff>
    </xdr:from>
    <xdr:to>
      <xdr:col>29</xdr:col>
      <xdr:colOff>47625</xdr:colOff>
      <xdr:row>25</xdr:row>
      <xdr:rowOff>76201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6572250" y="4886326"/>
          <a:ext cx="13716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1" baseline="0">
              <a:latin typeface="+mn-lt"/>
              <a:cs typeface="Times New Roman"/>
            </a:rPr>
            <a:t>6 </a:t>
          </a:r>
          <a:r>
            <a:rPr lang="en-US" sz="1000" b="1">
              <a:latin typeface="+mn-lt"/>
              <a:cs typeface="Times New Roman"/>
            </a:rPr>
            <a:t>oz. non-woven filter fabric around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32</xdr:col>
      <xdr:colOff>96116</xdr:colOff>
      <xdr:row>50</xdr:row>
      <xdr:rowOff>159327</xdr:rowOff>
    </xdr:from>
    <xdr:to>
      <xdr:col>32</xdr:col>
      <xdr:colOff>96116</xdr:colOff>
      <xdr:row>56</xdr:row>
      <xdr:rowOff>90747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 bwMode="auto">
        <a:xfrm>
          <a:off x="8620991" y="10617777"/>
          <a:ext cx="0" cy="11887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96116</xdr:colOff>
      <xdr:row>44</xdr:row>
      <xdr:rowOff>187902</xdr:rowOff>
    </xdr:from>
    <xdr:to>
      <xdr:col>32</xdr:col>
      <xdr:colOff>96116</xdr:colOff>
      <xdr:row>49</xdr:row>
      <xdr:rowOff>54552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 bwMode="auto">
        <a:xfrm flipV="1">
          <a:off x="8620991" y="9389052"/>
          <a:ext cx="0" cy="9144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26266</xdr:colOff>
      <xdr:row>50</xdr:row>
      <xdr:rowOff>22802</xdr:rowOff>
    </xdr:from>
    <xdr:to>
      <xdr:col>32</xdr:col>
      <xdr:colOff>103525</xdr:colOff>
      <xdr:row>50</xdr:row>
      <xdr:rowOff>152977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/>
      </xdr:nvCxnSpPr>
      <xdr:spPr bwMode="auto">
        <a:xfrm flipH="1" flipV="1">
          <a:off x="8341591" y="10481252"/>
          <a:ext cx="286809" cy="1301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86593</xdr:colOff>
      <xdr:row>49</xdr:row>
      <xdr:rowOff>45030</xdr:rowOff>
    </xdr:from>
    <xdr:to>
      <xdr:col>34</xdr:col>
      <xdr:colOff>866</xdr:colOff>
      <xdr:row>49</xdr:row>
      <xdr:rowOff>149802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 bwMode="auto">
        <a:xfrm flipH="1" flipV="1">
          <a:off x="8611468" y="10293930"/>
          <a:ext cx="333373" cy="10477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10391</xdr:colOff>
      <xdr:row>49</xdr:row>
      <xdr:rowOff>158269</xdr:rowOff>
    </xdr:from>
    <xdr:to>
      <xdr:col>34</xdr:col>
      <xdr:colOff>10391</xdr:colOff>
      <xdr:row>50</xdr:row>
      <xdr:rowOff>22803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/>
      </xdr:nvCxnSpPr>
      <xdr:spPr bwMode="auto">
        <a:xfrm flipV="1">
          <a:off x="8325716" y="10407169"/>
          <a:ext cx="628650" cy="7408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56</xdr:col>
      <xdr:colOff>16452</xdr:colOff>
      <xdr:row>41</xdr:row>
      <xdr:rowOff>173179</xdr:rowOff>
    </xdr:from>
    <xdr:to>
      <xdr:col>56</xdr:col>
      <xdr:colOff>16452</xdr:colOff>
      <xdr:row>48</xdr:row>
      <xdr:rowOff>169369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 bwMode="auto">
        <a:xfrm flipV="1">
          <a:off x="13570527" y="8745679"/>
          <a:ext cx="0" cy="1463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56</xdr:col>
      <xdr:colOff>16452</xdr:colOff>
      <xdr:row>50</xdr:row>
      <xdr:rowOff>51953</xdr:rowOff>
    </xdr:from>
    <xdr:to>
      <xdr:col>56</xdr:col>
      <xdr:colOff>16452</xdr:colOff>
      <xdr:row>59</xdr:row>
      <xdr:rowOff>86243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 bwMode="auto">
        <a:xfrm>
          <a:off x="13570527" y="10510403"/>
          <a:ext cx="0" cy="19202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19050</xdr:colOff>
      <xdr:row>41</xdr:row>
      <xdr:rowOff>161541</xdr:rowOff>
    </xdr:from>
    <xdr:to>
      <xdr:col>56</xdr:col>
      <xdr:colOff>95250</xdr:colOff>
      <xdr:row>41</xdr:row>
      <xdr:rowOff>161541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 bwMode="auto">
        <a:xfrm>
          <a:off x="12734925" y="8734041"/>
          <a:ext cx="9144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19049</xdr:colOff>
      <xdr:row>59</xdr:row>
      <xdr:rowOff>90054</xdr:rowOff>
    </xdr:from>
    <xdr:to>
      <xdr:col>56</xdr:col>
      <xdr:colOff>95249</xdr:colOff>
      <xdr:row>59</xdr:row>
      <xdr:rowOff>90054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/>
      </xdr:nvCxnSpPr>
      <xdr:spPr bwMode="auto">
        <a:xfrm>
          <a:off x="12734924" y="12434454"/>
          <a:ext cx="9144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115166</xdr:colOff>
      <xdr:row>59</xdr:row>
      <xdr:rowOff>14719</xdr:rowOff>
    </xdr:from>
    <xdr:to>
      <xdr:col>10</xdr:col>
      <xdr:colOff>115166</xdr:colOff>
      <xdr:row>62</xdr:row>
      <xdr:rowOff>26149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 bwMode="auto">
        <a:xfrm>
          <a:off x="4029941" y="12359119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95251</xdr:colOff>
      <xdr:row>59</xdr:row>
      <xdr:rowOff>17318</xdr:rowOff>
    </xdr:from>
    <xdr:to>
      <xdr:col>52</xdr:col>
      <xdr:colOff>95251</xdr:colOff>
      <xdr:row>62</xdr:row>
      <xdr:rowOff>28748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CxnSpPr/>
      </xdr:nvCxnSpPr>
      <xdr:spPr bwMode="auto">
        <a:xfrm>
          <a:off x="12811126" y="12361718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123824</xdr:colOff>
      <xdr:row>61</xdr:row>
      <xdr:rowOff>118629</xdr:rowOff>
    </xdr:from>
    <xdr:to>
      <xdr:col>25</xdr:col>
      <xdr:colOff>89534</xdr:colOff>
      <xdr:row>61</xdr:row>
      <xdr:rowOff>118629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 bwMode="auto">
        <a:xfrm flipH="1">
          <a:off x="4038599" y="12882129"/>
          <a:ext cx="3108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29</xdr:col>
      <xdr:colOff>77065</xdr:colOff>
      <xdr:row>61</xdr:row>
      <xdr:rowOff>118629</xdr:rowOff>
    </xdr:from>
    <xdr:to>
      <xdr:col>52</xdr:col>
      <xdr:colOff>103735</xdr:colOff>
      <xdr:row>61</xdr:row>
      <xdr:rowOff>118629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 bwMode="auto">
        <a:xfrm flipH="1">
          <a:off x="7973290" y="12882129"/>
          <a:ext cx="4846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8659</xdr:colOff>
      <xdr:row>39</xdr:row>
      <xdr:rowOff>38100</xdr:rowOff>
    </xdr:from>
    <xdr:to>
      <xdr:col>8</xdr:col>
      <xdr:colOff>8659</xdr:colOff>
      <xdr:row>40</xdr:row>
      <xdr:rowOff>148590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CxnSpPr/>
      </xdr:nvCxnSpPr>
      <xdr:spPr bwMode="auto">
        <a:xfrm>
          <a:off x="3504334" y="8191500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9524</xdr:colOff>
      <xdr:row>39</xdr:row>
      <xdr:rowOff>38100</xdr:rowOff>
    </xdr:from>
    <xdr:to>
      <xdr:col>55</xdr:col>
      <xdr:colOff>9524</xdr:colOff>
      <xdr:row>40</xdr:row>
      <xdr:rowOff>148590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CxnSpPr/>
      </xdr:nvCxnSpPr>
      <xdr:spPr bwMode="auto">
        <a:xfrm>
          <a:off x="13601699" y="8191500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18185</xdr:colOff>
      <xdr:row>39</xdr:row>
      <xdr:rowOff>127287</xdr:rowOff>
    </xdr:from>
    <xdr:to>
      <xdr:col>32</xdr:col>
      <xdr:colOff>18185</xdr:colOff>
      <xdr:row>39</xdr:row>
      <xdr:rowOff>127287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 bwMode="auto">
        <a:xfrm flipH="1">
          <a:off x="3513860" y="8280687"/>
          <a:ext cx="5029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8657</xdr:colOff>
      <xdr:row>39</xdr:row>
      <xdr:rowOff>127287</xdr:rowOff>
    </xdr:from>
    <xdr:to>
      <xdr:col>55</xdr:col>
      <xdr:colOff>4847</xdr:colOff>
      <xdr:row>39</xdr:row>
      <xdr:rowOff>127287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CxnSpPr/>
      </xdr:nvCxnSpPr>
      <xdr:spPr bwMode="auto">
        <a:xfrm flipH="1">
          <a:off x="9619382" y="8280687"/>
          <a:ext cx="39776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73603</xdr:colOff>
      <xdr:row>41</xdr:row>
      <xdr:rowOff>11257</xdr:rowOff>
    </xdr:from>
    <xdr:to>
      <xdr:col>58</xdr:col>
      <xdr:colOff>130753</xdr:colOff>
      <xdr:row>41</xdr:row>
      <xdr:rowOff>11257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 bwMode="auto">
        <a:xfrm>
          <a:off x="13418128" y="8583757"/>
          <a:ext cx="6858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63211</xdr:colOff>
      <xdr:row>59</xdr:row>
      <xdr:rowOff>201273</xdr:rowOff>
    </xdr:from>
    <xdr:to>
      <xdr:col>58</xdr:col>
      <xdr:colOff>120361</xdr:colOff>
      <xdr:row>59</xdr:row>
      <xdr:rowOff>201273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CxnSpPr/>
      </xdr:nvCxnSpPr>
      <xdr:spPr bwMode="auto">
        <a:xfrm>
          <a:off x="13407736" y="12545673"/>
          <a:ext cx="6858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58</xdr:col>
      <xdr:colOff>6927</xdr:colOff>
      <xdr:row>41</xdr:row>
      <xdr:rowOff>11256</xdr:rowOff>
    </xdr:from>
    <xdr:to>
      <xdr:col>58</xdr:col>
      <xdr:colOff>6927</xdr:colOff>
      <xdr:row>50</xdr:row>
      <xdr:rowOff>136986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CxnSpPr/>
      </xdr:nvCxnSpPr>
      <xdr:spPr bwMode="auto">
        <a:xfrm flipV="1">
          <a:off x="13980102" y="8583756"/>
          <a:ext cx="0" cy="20116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58</xdr:col>
      <xdr:colOff>6927</xdr:colOff>
      <xdr:row>52</xdr:row>
      <xdr:rowOff>103909</xdr:rowOff>
    </xdr:from>
    <xdr:to>
      <xdr:col>58</xdr:col>
      <xdr:colOff>6927</xdr:colOff>
      <xdr:row>59</xdr:row>
      <xdr:rowOff>191539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CxnSpPr/>
      </xdr:nvCxnSpPr>
      <xdr:spPr bwMode="auto">
        <a:xfrm>
          <a:off x="13980102" y="10981459"/>
          <a:ext cx="0" cy="1554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107372</xdr:colOff>
      <xdr:row>44</xdr:row>
      <xdr:rowOff>97848</xdr:rowOff>
    </xdr:from>
    <xdr:to>
      <xdr:col>16</xdr:col>
      <xdr:colOff>107372</xdr:colOff>
      <xdr:row>45</xdr:row>
      <xdr:rowOff>25458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CxnSpPr/>
      </xdr:nvCxnSpPr>
      <xdr:spPr bwMode="auto">
        <a:xfrm>
          <a:off x="5279447" y="9298998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48490</xdr:colOff>
      <xdr:row>44</xdr:row>
      <xdr:rowOff>97848</xdr:rowOff>
    </xdr:from>
    <xdr:to>
      <xdr:col>21</xdr:col>
      <xdr:colOff>48490</xdr:colOff>
      <xdr:row>45</xdr:row>
      <xdr:rowOff>25458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CxnSpPr/>
      </xdr:nvCxnSpPr>
      <xdr:spPr bwMode="auto">
        <a:xfrm>
          <a:off x="6268315" y="9298998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116897</xdr:colOff>
      <xdr:row>44</xdr:row>
      <xdr:rowOff>170584</xdr:rowOff>
    </xdr:from>
    <xdr:to>
      <xdr:col>21</xdr:col>
      <xdr:colOff>37926</xdr:colOff>
      <xdr:row>44</xdr:row>
      <xdr:rowOff>170584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CxnSpPr/>
      </xdr:nvCxnSpPr>
      <xdr:spPr bwMode="auto">
        <a:xfrm flipH="1">
          <a:off x="5288972" y="9371734"/>
          <a:ext cx="96877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10</xdr:col>
      <xdr:colOff>67541</xdr:colOff>
      <xdr:row>41</xdr:row>
      <xdr:rowOff>123132</xdr:rowOff>
    </xdr:from>
    <xdr:to>
      <xdr:col>53</xdr:col>
      <xdr:colOff>866</xdr:colOff>
      <xdr:row>44</xdr:row>
      <xdr:rowOff>61410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3982316" y="8695632"/>
          <a:ext cx="8943975" cy="566928"/>
        </a:xfrm>
        <a:prstGeom prst="rect">
          <a:avLst/>
        </a:prstGeom>
      </xdr:spPr>
    </xdr:pic>
    <xdr:clientData/>
  </xdr:twoCellAnchor>
  <xdr:twoCellAnchor editAs="oneCell">
    <xdr:from>
      <xdr:col>10</xdr:col>
      <xdr:colOff>67541</xdr:colOff>
      <xdr:row>56</xdr:row>
      <xdr:rowOff>178377</xdr:rowOff>
    </xdr:from>
    <xdr:to>
      <xdr:col>53</xdr:col>
      <xdr:colOff>866</xdr:colOff>
      <xdr:row>59</xdr:row>
      <xdr:rowOff>116655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3982316" y="11894127"/>
          <a:ext cx="8943975" cy="566928"/>
        </a:xfrm>
        <a:prstGeom prst="rect">
          <a:avLst/>
        </a:prstGeom>
      </xdr:spPr>
    </xdr:pic>
    <xdr:clientData/>
  </xdr:twoCellAnchor>
  <xdr:twoCellAnchor>
    <xdr:from>
      <xdr:col>14</xdr:col>
      <xdr:colOff>162790</xdr:colOff>
      <xdr:row>60</xdr:row>
      <xdr:rowOff>11257</xdr:rowOff>
    </xdr:from>
    <xdr:to>
      <xdr:col>14</xdr:col>
      <xdr:colOff>162790</xdr:colOff>
      <xdr:row>60</xdr:row>
      <xdr:rowOff>195869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CxnSpPr/>
      </xdr:nvCxnSpPr>
      <xdr:spPr bwMode="auto">
        <a:xfrm flipH="1">
          <a:off x="4915765" y="12565207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153266</xdr:colOff>
      <xdr:row>58</xdr:row>
      <xdr:rowOff>102177</xdr:rowOff>
    </xdr:from>
    <xdr:to>
      <xdr:col>14</xdr:col>
      <xdr:colOff>153266</xdr:colOff>
      <xdr:row>59</xdr:row>
      <xdr:rowOff>77239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CxnSpPr/>
      </xdr:nvCxnSpPr>
      <xdr:spPr bwMode="auto">
        <a:xfrm flipH="1">
          <a:off x="4906241" y="12237027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38966</xdr:colOff>
      <xdr:row>55</xdr:row>
      <xdr:rowOff>206952</xdr:rowOff>
    </xdr:from>
    <xdr:to>
      <xdr:col>51</xdr:col>
      <xdr:colOff>38966</xdr:colOff>
      <xdr:row>56</xdr:row>
      <xdr:rowOff>152850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CxnSpPr/>
      </xdr:nvCxnSpPr>
      <xdr:spPr bwMode="auto">
        <a:xfrm>
          <a:off x="12545291" y="11713152"/>
          <a:ext cx="0" cy="15544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86591</xdr:colOff>
      <xdr:row>55</xdr:row>
      <xdr:rowOff>206952</xdr:rowOff>
    </xdr:from>
    <xdr:to>
      <xdr:col>52</xdr:col>
      <xdr:colOff>86591</xdr:colOff>
      <xdr:row>57</xdr:row>
      <xdr:rowOff>62172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CxnSpPr/>
      </xdr:nvCxnSpPr>
      <xdr:spPr bwMode="auto">
        <a:xfrm>
          <a:off x="12802466" y="11713152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38966</xdr:colOff>
      <xdr:row>56</xdr:row>
      <xdr:rowOff>35502</xdr:rowOff>
    </xdr:from>
    <xdr:to>
      <xdr:col>52</xdr:col>
      <xdr:colOff>85448</xdr:colOff>
      <xdr:row>56</xdr:row>
      <xdr:rowOff>35502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CxnSpPr/>
      </xdr:nvCxnSpPr>
      <xdr:spPr bwMode="auto">
        <a:xfrm flipH="1">
          <a:off x="12545291" y="11751252"/>
          <a:ext cx="25603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32</xdr:col>
      <xdr:colOff>94043</xdr:colOff>
      <xdr:row>1</xdr:row>
      <xdr:rowOff>209549</xdr:rowOff>
    </xdr:from>
    <xdr:to>
      <xdr:col>39</xdr:col>
      <xdr:colOff>85725</xdr:colOff>
      <xdr:row>3</xdr:row>
      <xdr:rowOff>161925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8918" y="447674"/>
          <a:ext cx="1458532" cy="371476"/>
        </a:xfrm>
        <a:prstGeom prst="rect">
          <a:avLst/>
        </a:prstGeom>
      </xdr:spPr>
    </xdr:pic>
    <xdr:clientData/>
  </xdr:twoCellAnchor>
  <xdr:twoCellAnchor>
    <xdr:from>
      <xdr:col>13</xdr:col>
      <xdr:colOff>152400</xdr:colOff>
      <xdr:row>23</xdr:row>
      <xdr:rowOff>180975</xdr:rowOff>
    </xdr:from>
    <xdr:to>
      <xdr:col>16</xdr:col>
      <xdr:colOff>95250</xdr:colOff>
      <xdr:row>26</xdr:row>
      <xdr:rowOff>0</xdr:rowOff>
    </xdr:to>
    <xdr:cxnSp macro="">
      <xdr:nvCxnSpPr>
        <xdr:cNvPr id="69" name="Curved Connector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CxnSpPr/>
      </xdr:nvCxnSpPr>
      <xdr:spPr bwMode="auto">
        <a:xfrm>
          <a:off x="4695825" y="5029200"/>
          <a:ext cx="571500" cy="400050"/>
        </a:xfrm>
        <a:prstGeom prst="curvedConnector3">
          <a:avLst>
            <a:gd name="adj1" fmla="val 3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208025</xdr:colOff>
      <xdr:row>42</xdr:row>
      <xdr:rowOff>90490</xdr:rowOff>
    </xdr:from>
    <xdr:to>
      <xdr:col>10</xdr:col>
      <xdr:colOff>209549</xdr:colOff>
      <xdr:row>46</xdr:row>
      <xdr:rowOff>29530</xdr:rowOff>
    </xdr:to>
    <xdr:sp macro="" textlink="">
      <xdr:nvSpPr>
        <xdr:cNvPr id="70" name="L-Shape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 rot="5400000">
          <a:off x="3525392" y="9050848"/>
          <a:ext cx="777240" cy="420624"/>
        </a:xfrm>
        <a:prstGeom prst="corner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209549</xdr:colOff>
      <xdr:row>54</xdr:row>
      <xdr:rowOff>200024</xdr:rowOff>
    </xdr:from>
    <xdr:to>
      <xdr:col>11</xdr:col>
      <xdr:colOff>1523</xdr:colOff>
      <xdr:row>58</xdr:row>
      <xdr:rowOff>139064</xdr:rowOff>
    </xdr:to>
    <xdr:sp macro="" textlink="">
      <xdr:nvSpPr>
        <xdr:cNvPr id="71" name="L-Shap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3705224" y="11496674"/>
          <a:ext cx="420624" cy="777240"/>
        </a:xfrm>
        <a:prstGeom prst="corner">
          <a:avLst>
            <a:gd name="adj1" fmla="val 50000"/>
            <a:gd name="adj2" fmla="val 5215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13</xdr:row>
          <xdr:rowOff>200025</xdr:rowOff>
        </xdr:from>
        <xdr:to>
          <xdr:col>3</xdr:col>
          <xdr:colOff>200025</xdr:colOff>
          <xdr:row>15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15</xdr:row>
          <xdr:rowOff>200025</xdr:rowOff>
        </xdr:from>
        <xdr:to>
          <xdr:col>3</xdr:col>
          <xdr:colOff>200025</xdr:colOff>
          <xdr:row>17</xdr:row>
          <xdr:rowOff>9525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178378</xdr:colOff>
      <xdr:row>42</xdr:row>
      <xdr:rowOff>116413</xdr:rowOff>
    </xdr:from>
    <xdr:to>
      <xdr:col>6</xdr:col>
      <xdr:colOff>178378</xdr:colOff>
      <xdr:row>48</xdr:row>
      <xdr:rowOff>139273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CxnSpPr/>
      </xdr:nvCxnSpPr>
      <xdr:spPr bwMode="auto">
        <a:xfrm flipV="1">
          <a:off x="3254953" y="8898463"/>
          <a:ext cx="0" cy="1280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178378</xdr:colOff>
      <xdr:row>50</xdr:row>
      <xdr:rowOff>61862</xdr:rowOff>
    </xdr:from>
    <xdr:to>
      <xdr:col>6</xdr:col>
      <xdr:colOff>178378</xdr:colOff>
      <xdr:row>58</xdr:row>
      <xdr:rowOff>122822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CxnSpPr/>
      </xdr:nvCxnSpPr>
      <xdr:spPr bwMode="auto">
        <a:xfrm>
          <a:off x="3254953" y="10520312"/>
          <a:ext cx="0" cy="17373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</xdr:colOff>
      <xdr:row>42</xdr:row>
      <xdr:rowOff>104775</xdr:rowOff>
    </xdr:from>
    <xdr:to>
      <xdr:col>8</xdr:col>
      <xdr:colOff>129541</xdr:colOff>
      <xdr:row>42</xdr:row>
      <xdr:rowOff>104775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CxnSpPr/>
      </xdr:nvCxnSpPr>
      <xdr:spPr bwMode="auto">
        <a:xfrm>
          <a:off x="3076576" y="8886825"/>
          <a:ext cx="5486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58</xdr:row>
      <xdr:rowOff>138063</xdr:rowOff>
    </xdr:from>
    <xdr:to>
      <xdr:col>8</xdr:col>
      <xdr:colOff>129540</xdr:colOff>
      <xdr:row>58</xdr:row>
      <xdr:rowOff>138063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CxnSpPr/>
      </xdr:nvCxnSpPr>
      <xdr:spPr bwMode="auto">
        <a:xfrm>
          <a:off x="3076575" y="12272913"/>
          <a:ext cx="5486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19</xdr:row>
          <xdr:rowOff>200025</xdr:rowOff>
        </xdr:from>
        <xdr:to>
          <xdr:col>3</xdr:col>
          <xdr:colOff>200025</xdr:colOff>
          <xdr:row>21</xdr:row>
          <xdr:rowOff>9525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114300</xdr:colOff>
      <xdr:row>51</xdr:row>
      <xdr:rowOff>0</xdr:rowOff>
    </xdr:from>
    <xdr:to>
      <xdr:col>9</xdr:col>
      <xdr:colOff>114300</xdr:colOff>
      <xdr:row>54</xdr:row>
      <xdr:rowOff>194310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CxnSpPr/>
      </xdr:nvCxnSpPr>
      <xdr:spPr bwMode="auto">
        <a:xfrm>
          <a:off x="3819525" y="10668000"/>
          <a:ext cx="0" cy="8229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114300</xdr:colOff>
      <xdr:row>46</xdr:row>
      <xdr:rowOff>29654</xdr:rowOff>
    </xdr:from>
    <xdr:to>
      <xdr:col>9</xdr:col>
      <xdr:colOff>114300</xdr:colOff>
      <xdr:row>50</xdr:row>
      <xdr:rowOff>64447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CxnSpPr/>
      </xdr:nvCxnSpPr>
      <xdr:spPr bwMode="auto">
        <a:xfrm flipV="1">
          <a:off x="3819525" y="9649904"/>
          <a:ext cx="0" cy="8729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3594</xdr:colOff>
      <xdr:row>50</xdr:row>
      <xdr:rowOff>144134</xdr:rowOff>
    </xdr:from>
    <xdr:to>
      <xdr:col>9</xdr:col>
      <xdr:colOff>115019</xdr:colOff>
      <xdr:row>51</xdr:row>
      <xdr:rowOff>3595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CxnSpPr/>
      </xdr:nvCxnSpPr>
      <xdr:spPr bwMode="auto">
        <a:xfrm flipH="1" flipV="1">
          <a:off x="3708819" y="10602584"/>
          <a:ext cx="111425" cy="690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115019</xdr:colOff>
      <xdr:row>50</xdr:row>
      <xdr:rowOff>57509</xdr:rowOff>
    </xdr:from>
    <xdr:to>
      <xdr:col>10</xdr:col>
      <xdr:colOff>25161</xdr:colOff>
      <xdr:row>50</xdr:row>
      <xdr:rowOff>125803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CxnSpPr/>
      </xdr:nvCxnSpPr>
      <xdr:spPr bwMode="auto">
        <a:xfrm flipH="1" flipV="1">
          <a:off x="3820244" y="10515959"/>
          <a:ext cx="119692" cy="6829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204876</xdr:colOff>
      <xdr:row>50</xdr:row>
      <xdr:rowOff>125802</xdr:rowOff>
    </xdr:from>
    <xdr:to>
      <xdr:col>10</xdr:col>
      <xdr:colOff>32349</xdr:colOff>
      <xdr:row>50</xdr:row>
      <xdr:rowOff>142878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CxnSpPr/>
      </xdr:nvCxnSpPr>
      <xdr:spPr bwMode="auto">
        <a:xfrm flipV="1">
          <a:off x="3700551" y="10584252"/>
          <a:ext cx="246573" cy="1707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</xdr:colOff>
      <xdr:row>59</xdr:row>
      <xdr:rowOff>19050</xdr:rowOff>
    </xdr:from>
    <xdr:to>
      <xdr:col>9</xdr:col>
      <xdr:colOff>9525</xdr:colOff>
      <xdr:row>62</xdr:row>
      <xdr:rowOff>30480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CxnSpPr/>
      </xdr:nvCxnSpPr>
      <xdr:spPr bwMode="auto">
        <a:xfrm>
          <a:off x="3714750" y="12363450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60</xdr:row>
      <xdr:rowOff>38100</xdr:rowOff>
    </xdr:from>
    <xdr:to>
      <xdr:col>8</xdr:col>
      <xdr:colOff>0</xdr:colOff>
      <xdr:row>62</xdr:row>
      <xdr:rowOff>30480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CxnSpPr/>
      </xdr:nvCxnSpPr>
      <xdr:spPr bwMode="auto">
        <a:xfrm>
          <a:off x="3495675" y="12592050"/>
          <a:ext cx="0" cy="411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</xdr:colOff>
      <xdr:row>61</xdr:row>
      <xdr:rowOff>114300</xdr:rowOff>
    </xdr:from>
    <xdr:to>
      <xdr:col>10</xdr:col>
      <xdr:colOff>120015</xdr:colOff>
      <xdr:row>61</xdr:row>
      <xdr:rowOff>114300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CxnSpPr/>
      </xdr:nvCxnSpPr>
      <xdr:spPr bwMode="auto">
        <a:xfrm flipH="1">
          <a:off x="3714750" y="12877800"/>
          <a:ext cx="3200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61</xdr:row>
      <xdr:rowOff>114300</xdr:rowOff>
    </xdr:from>
    <xdr:to>
      <xdr:col>9</xdr:col>
      <xdr:colOff>9906</xdr:colOff>
      <xdr:row>61</xdr:row>
      <xdr:rowOff>114300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CxnSpPr/>
      </xdr:nvCxnSpPr>
      <xdr:spPr bwMode="auto">
        <a:xfrm flipH="1">
          <a:off x="3495675" y="12877800"/>
          <a:ext cx="21945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193649</xdr:colOff>
      <xdr:row>54</xdr:row>
      <xdr:rowOff>200025</xdr:rowOff>
    </xdr:from>
    <xdr:to>
      <xdr:col>53</xdr:col>
      <xdr:colOff>195173</xdr:colOff>
      <xdr:row>58</xdr:row>
      <xdr:rowOff>139065</xdr:rowOff>
    </xdr:to>
    <xdr:sp macro="" textlink="">
      <xdr:nvSpPr>
        <xdr:cNvPr id="88" name="L-Shape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/>
      </xdr:nvSpPr>
      <xdr:spPr>
        <a:xfrm rot="16200000">
          <a:off x="12521666" y="11674983"/>
          <a:ext cx="777240" cy="420624"/>
        </a:xfrm>
        <a:prstGeom prst="corner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51</xdr:col>
      <xdr:colOff>195173</xdr:colOff>
      <xdr:row>42</xdr:row>
      <xdr:rowOff>90484</xdr:rowOff>
    </xdr:from>
    <xdr:to>
      <xdr:col>53</xdr:col>
      <xdr:colOff>196697</xdr:colOff>
      <xdr:row>46</xdr:row>
      <xdr:rowOff>29524</xdr:rowOff>
    </xdr:to>
    <xdr:sp macro="" textlink="">
      <xdr:nvSpPr>
        <xdr:cNvPr id="89" name="L-Shape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/>
      </xdr:nvSpPr>
      <xdr:spPr>
        <a:xfrm rot="10800000">
          <a:off x="12701498" y="8872534"/>
          <a:ext cx="420624" cy="777240"/>
        </a:xfrm>
        <a:prstGeom prst="corner">
          <a:avLst>
            <a:gd name="adj1" fmla="val 50000"/>
            <a:gd name="adj2" fmla="val 5215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53</xdr:col>
      <xdr:colOff>90399</xdr:colOff>
      <xdr:row>50</xdr:row>
      <xdr:rowOff>208471</xdr:rowOff>
    </xdr:from>
    <xdr:to>
      <xdr:col>53</xdr:col>
      <xdr:colOff>90399</xdr:colOff>
      <xdr:row>54</xdr:row>
      <xdr:rowOff>193231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CxnSpPr/>
      </xdr:nvCxnSpPr>
      <xdr:spPr bwMode="auto">
        <a:xfrm>
          <a:off x="13015824" y="10666921"/>
          <a:ext cx="0" cy="8229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90399</xdr:colOff>
      <xdr:row>46</xdr:row>
      <xdr:rowOff>28575</xdr:rowOff>
    </xdr:from>
    <xdr:to>
      <xdr:col>53</xdr:col>
      <xdr:colOff>90399</xdr:colOff>
      <xdr:row>50</xdr:row>
      <xdr:rowOff>63368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CxnSpPr/>
      </xdr:nvCxnSpPr>
      <xdr:spPr bwMode="auto">
        <a:xfrm flipV="1">
          <a:off x="13015824" y="9648825"/>
          <a:ext cx="0" cy="8729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189243</xdr:colOff>
      <xdr:row>50</xdr:row>
      <xdr:rowOff>143055</xdr:rowOff>
    </xdr:from>
    <xdr:to>
      <xdr:col>53</xdr:col>
      <xdr:colOff>91118</xdr:colOff>
      <xdr:row>51</xdr:row>
      <xdr:rowOff>2516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CxnSpPr/>
      </xdr:nvCxnSpPr>
      <xdr:spPr bwMode="auto">
        <a:xfrm flipH="1" flipV="1">
          <a:off x="12905118" y="10601505"/>
          <a:ext cx="111425" cy="690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91118</xdr:colOff>
      <xdr:row>50</xdr:row>
      <xdr:rowOff>56430</xdr:rowOff>
    </xdr:from>
    <xdr:to>
      <xdr:col>54</xdr:col>
      <xdr:colOff>1260</xdr:colOff>
      <xdr:row>50</xdr:row>
      <xdr:rowOff>124724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CxnSpPr/>
      </xdr:nvCxnSpPr>
      <xdr:spPr bwMode="auto">
        <a:xfrm flipH="1" flipV="1">
          <a:off x="13016543" y="10514880"/>
          <a:ext cx="119692" cy="6829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180975</xdr:colOff>
      <xdr:row>50</xdr:row>
      <xdr:rowOff>124723</xdr:rowOff>
    </xdr:from>
    <xdr:to>
      <xdr:col>54</xdr:col>
      <xdr:colOff>8448</xdr:colOff>
      <xdr:row>50</xdr:row>
      <xdr:rowOff>141799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CxnSpPr/>
      </xdr:nvCxnSpPr>
      <xdr:spPr bwMode="auto">
        <a:xfrm flipV="1">
          <a:off x="12896850" y="10583173"/>
          <a:ext cx="246573" cy="1707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11</xdr:row>
          <xdr:rowOff>200025</xdr:rowOff>
        </xdr:from>
        <xdr:to>
          <xdr:col>3</xdr:col>
          <xdr:colOff>200025</xdr:colOff>
          <xdr:row>13</xdr:row>
          <xdr:rowOff>9525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17</xdr:row>
          <xdr:rowOff>200025</xdr:rowOff>
        </xdr:from>
        <xdr:to>
          <xdr:col>3</xdr:col>
          <xdr:colOff>200025</xdr:colOff>
          <xdr:row>19</xdr:row>
          <xdr:rowOff>9525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3</xdr:row>
          <xdr:rowOff>200025</xdr:rowOff>
        </xdr:from>
        <xdr:to>
          <xdr:col>3</xdr:col>
          <xdr:colOff>209550</xdr:colOff>
          <xdr:row>5</xdr:row>
          <xdr:rowOff>9525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6</xdr:row>
          <xdr:rowOff>200025</xdr:rowOff>
        </xdr:from>
        <xdr:to>
          <xdr:col>3</xdr:col>
          <xdr:colOff>209550</xdr:colOff>
          <xdr:row>8</xdr:row>
          <xdr:rowOff>9525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180975</xdr:colOff>
      <xdr:row>4</xdr:row>
      <xdr:rowOff>161925</xdr:rowOff>
    </xdr:from>
    <xdr:to>
      <xdr:col>16</xdr:col>
      <xdr:colOff>155879</xdr:colOff>
      <xdr:row>10</xdr:row>
      <xdr:rowOff>52748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7100" y="1028700"/>
          <a:ext cx="1860854" cy="1148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95249</xdr:colOff>
      <xdr:row>4</xdr:row>
      <xdr:rowOff>0</xdr:rowOff>
    </xdr:from>
    <xdr:to>
      <xdr:col>39</xdr:col>
      <xdr:colOff>104776</xdr:colOff>
      <xdr:row>35</xdr:row>
      <xdr:rowOff>133350</xdr:rowOff>
    </xdr:to>
    <xdr:sp macro="" textlink="">
      <xdr:nvSpPr>
        <xdr:cNvPr id="5" name="Round Diagonal Corner 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3171824" y="866775"/>
          <a:ext cx="6924677" cy="6581775"/>
        </a:xfrm>
        <a:prstGeom prst="round2DiagRect">
          <a:avLst/>
        </a:prstGeom>
        <a:noFill/>
        <a:ln w="317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114300</xdr:colOff>
      <xdr:row>23</xdr:row>
      <xdr:rowOff>104776</xdr:rowOff>
    </xdr:from>
    <xdr:to>
      <xdr:col>32</xdr:col>
      <xdr:colOff>179070</xdr:colOff>
      <xdr:row>31</xdr:row>
      <xdr:rowOff>170376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5"/>
        <a:stretch/>
      </xdr:blipFill>
      <xdr:spPr>
        <a:xfrm>
          <a:off x="3400425" y="4953001"/>
          <a:ext cx="5303520" cy="1694375"/>
        </a:xfrm>
        <a:prstGeom prst="rect">
          <a:avLst/>
        </a:prstGeom>
      </xdr:spPr>
    </xdr:pic>
    <xdr:clientData/>
  </xdr:twoCellAnchor>
  <xdr:twoCellAnchor>
    <xdr:from>
      <xdr:col>36</xdr:col>
      <xdr:colOff>9525</xdr:colOff>
      <xdr:row>25</xdr:row>
      <xdr:rowOff>19050</xdr:rowOff>
    </xdr:from>
    <xdr:to>
      <xdr:col>36</xdr:col>
      <xdr:colOff>9525</xdr:colOff>
      <xdr:row>25</xdr:row>
      <xdr:rowOff>201930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 bwMode="auto">
        <a:xfrm>
          <a:off x="9372600" y="5238750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9525</xdr:colOff>
      <xdr:row>28</xdr:row>
      <xdr:rowOff>161925</xdr:rowOff>
    </xdr:from>
    <xdr:to>
      <xdr:col>36</xdr:col>
      <xdr:colOff>9525</xdr:colOff>
      <xdr:row>30</xdr:row>
      <xdr:rowOff>200025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 bwMode="auto">
        <a:xfrm>
          <a:off x="9372600" y="6010275"/>
          <a:ext cx="0" cy="4572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95250</xdr:colOff>
      <xdr:row>33</xdr:row>
      <xdr:rowOff>123826</xdr:rowOff>
    </xdr:from>
    <xdr:to>
      <xdr:col>19</xdr:col>
      <xdr:colOff>167640</xdr:colOff>
      <xdr:row>33</xdr:row>
      <xdr:rowOff>123826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 bwMode="auto">
        <a:xfrm>
          <a:off x="3590925" y="7019926"/>
          <a:ext cx="23774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47625</xdr:colOff>
      <xdr:row>33</xdr:row>
      <xdr:rowOff>123826</xdr:rowOff>
    </xdr:from>
    <xdr:to>
      <xdr:col>32</xdr:col>
      <xdr:colOff>51435</xdr:colOff>
      <xdr:row>33</xdr:row>
      <xdr:rowOff>123826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 bwMode="auto">
        <a:xfrm>
          <a:off x="7524750" y="7019926"/>
          <a:ext cx="105156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95250</xdr:colOff>
      <xdr:row>31</xdr:row>
      <xdr:rowOff>1</xdr:rowOff>
    </xdr:from>
    <xdr:to>
      <xdr:col>36</xdr:col>
      <xdr:colOff>80010</xdr:colOff>
      <xdr:row>31</xdr:row>
      <xdr:rowOff>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 bwMode="auto">
        <a:xfrm>
          <a:off x="8620125" y="6477001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85725</xdr:colOff>
      <xdr:row>31</xdr:row>
      <xdr:rowOff>19051</xdr:rowOff>
    </xdr:from>
    <xdr:to>
      <xdr:col>8</xdr:col>
      <xdr:colOff>85725</xdr:colOff>
      <xdr:row>34</xdr:row>
      <xdr:rowOff>30481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 bwMode="auto">
        <a:xfrm>
          <a:off x="3581400" y="6496051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57150</xdr:colOff>
      <xdr:row>31</xdr:row>
      <xdr:rowOff>28576</xdr:rowOff>
    </xdr:from>
    <xdr:to>
      <xdr:col>32</xdr:col>
      <xdr:colOff>57150</xdr:colOff>
      <xdr:row>34</xdr:row>
      <xdr:rowOff>40006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 bwMode="auto">
        <a:xfrm>
          <a:off x="8582025" y="6505576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104775</xdr:colOff>
      <xdr:row>25</xdr:row>
      <xdr:rowOff>19051</xdr:rowOff>
    </xdr:from>
    <xdr:to>
      <xdr:col>36</xdr:col>
      <xdr:colOff>89535</xdr:colOff>
      <xdr:row>25</xdr:row>
      <xdr:rowOff>19051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 bwMode="auto">
        <a:xfrm>
          <a:off x="8629650" y="5238751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66675</xdr:colOff>
      <xdr:row>30</xdr:row>
      <xdr:rowOff>28576</xdr:rowOff>
    </xdr:from>
    <xdr:to>
      <xdr:col>34</xdr:col>
      <xdr:colOff>32385</xdr:colOff>
      <xdr:row>30</xdr:row>
      <xdr:rowOff>28576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 bwMode="auto">
        <a:xfrm>
          <a:off x="8382000" y="6296026"/>
          <a:ext cx="5943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0</xdr:colOff>
      <xdr:row>26</xdr:row>
      <xdr:rowOff>38101</xdr:rowOff>
    </xdr:from>
    <xdr:to>
      <xdr:col>34</xdr:col>
      <xdr:colOff>68580</xdr:colOff>
      <xdr:row>26</xdr:row>
      <xdr:rowOff>38101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 bwMode="auto">
        <a:xfrm>
          <a:off x="7686675" y="5467351"/>
          <a:ext cx="1325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95250</xdr:colOff>
      <xdr:row>30</xdr:row>
      <xdr:rowOff>57151</xdr:rowOff>
    </xdr:from>
    <xdr:to>
      <xdr:col>9</xdr:col>
      <xdr:colOff>95250</xdr:colOff>
      <xdr:row>32</xdr:row>
      <xdr:rowOff>186691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 bwMode="auto">
        <a:xfrm>
          <a:off x="3800475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57150</xdr:colOff>
      <xdr:row>30</xdr:row>
      <xdr:rowOff>57151</xdr:rowOff>
    </xdr:from>
    <xdr:to>
      <xdr:col>16</xdr:col>
      <xdr:colOff>57150</xdr:colOff>
      <xdr:row>32</xdr:row>
      <xdr:rowOff>186691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 bwMode="auto">
        <a:xfrm>
          <a:off x="5229225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200025</xdr:colOff>
      <xdr:row>30</xdr:row>
      <xdr:rowOff>57151</xdr:rowOff>
    </xdr:from>
    <xdr:to>
      <xdr:col>16</xdr:col>
      <xdr:colOff>200025</xdr:colOff>
      <xdr:row>32</xdr:row>
      <xdr:rowOff>186691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 bwMode="auto">
        <a:xfrm>
          <a:off x="5372100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85725</xdr:colOff>
      <xdr:row>30</xdr:row>
      <xdr:rowOff>57151</xdr:rowOff>
    </xdr:from>
    <xdr:to>
      <xdr:col>24</xdr:col>
      <xdr:colOff>85725</xdr:colOff>
      <xdr:row>32</xdr:row>
      <xdr:rowOff>186691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 bwMode="auto">
        <a:xfrm>
          <a:off x="6934200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38100</xdr:colOff>
      <xdr:row>30</xdr:row>
      <xdr:rowOff>57151</xdr:rowOff>
    </xdr:from>
    <xdr:to>
      <xdr:col>31</xdr:col>
      <xdr:colOff>38100</xdr:colOff>
      <xdr:row>32</xdr:row>
      <xdr:rowOff>186691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 bwMode="auto">
        <a:xfrm>
          <a:off x="8353425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95250</xdr:colOff>
      <xdr:row>32</xdr:row>
      <xdr:rowOff>123826</xdr:rowOff>
    </xdr:from>
    <xdr:to>
      <xdr:col>10</xdr:col>
      <xdr:colOff>114300</xdr:colOff>
      <xdr:row>32</xdr:row>
      <xdr:rowOff>123826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 bwMode="auto">
        <a:xfrm>
          <a:off x="3800475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66675</xdr:colOff>
      <xdr:row>32</xdr:row>
      <xdr:rowOff>123826</xdr:rowOff>
    </xdr:from>
    <xdr:to>
      <xdr:col>8</xdr:col>
      <xdr:colOff>85725</xdr:colOff>
      <xdr:row>32</xdr:row>
      <xdr:rowOff>123826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 bwMode="auto">
        <a:xfrm>
          <a:off x="3352800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0</xdr:colOff>
      <xdr:row>32</xdr:row>
      <xdr:rowOff>123826</xdr:rowOff>
    </xdr:from>
    <xdr:to>
      <xdr:col>18</xdr:col>
      <xdr:colOff>19050</xdr:colOff>
      <xdr:row>32</xdr:row>
      <xdr:rowOff>123826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 bwMode="auto">
        <a:xfrm>
          <a:off x="5381625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28575</xdr:colOff>
      <xdr:row>32</xdr:row>
      <xdr:rowOff>123826</xdr:rowOff>
    </xdr:from>
    <xdr:to>
      <xdr:col>16</xdr:col>
      <xdr:colOff>47625</xdr:colOff>
      <xdr:row>32</xdr:row>
      <xdr:rowOff>123826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 bwMode="auto">
        <a:xfrm>
          <a:off x="4991100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76200</xdr:colOff>
      <xdr:row>32</xdr:row>
      <xdr:rowOff>133351</xdr:rowOff>
    </xdr:from>
    <xdr:to>
      <xdr:col>26</xdr:col>
      <xdr:colOff>205740</xdr:colOff>
      <xdr:row>32</xdr:row>
      <xdr:rowOff>133351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 bwMode="auto">
        <a:xfrm>
          <a:off x="6924675" y="6819901"/>
          <a:ext cx="5486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180975</xdr:colOff>
      <xdr:row>32</xdr:row>
      <xdr:rowOff>133351</xdr:rowOff>
    </xdr:from>
    <xdr:to>
      <xdr:col>31</xdr:col>
      <xdr:colOff>36957</xdr:colOff>
      <xdr:row>32</xdr:row>
      <xdr:rowOff>133351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 bwMode="auto">
        <a:xfrm>
          <a:off x="7867650" y="6819901"/>
          <a:ext cx="484632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28</xdr:row>
      <xdr:rowOff>123826</xdr:rowOff>
    </xdr:from>
    <xdr:to>
      <xdr:col>33</xdr:col>
      <xdr:colOff>123825</xdr:colOff>
      <xdr:row>30</xdr:row>
      <xdr:rowOff>24766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 bwMode="auto">
        <a:xfrm>
          <a:off x="8858250" y="5972176"/>
          <a:ext cx="0" cy="32004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26</xdr:row>
      <xdr:rowOff>38101</xdr:rowOff>
    </xdr:from>
    <xdr:to>
      <xdr:col>33</xdr:col>
      <xdr:colOff>123825</xdr:colOff>
      <xdr:row>27</xdr:row>
      <xdr:rowOff>102871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 bwMode="auto">
        <a:xfrm>
          <a:off x="8858250" y="5467351"/>
          <a:ext cx="0" cy="2743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23</xdr:row>
      <xdr:rowOff>200026</xdr:rowOff>
    </xdr:from>
    <xdr:to>
      <xdr:col>33</xdr:col>
      <xdr:colOff>123825</xdr:colOff>
      <xdr:row>25</xdr:row>
      <xdr:rowOff>11431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 bwMode="auto">
        <a:xfrm>
          <a:off x="8858250" y="5048251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31</xdr:row>
      <xdr:rowOff>1</xdr:rowOff>
    </xdr:from>
    <xdr:to>
      <xdr:col>33</xdr:col>
      <xdr:colOff>123825</xdr:colOff>
      <xdr:row>31</xdr:row>
      <xdr:rowOff>182881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 bwMode="auto">
        <a:xfrm>
          <a:off x="8858250" y="6477001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133350</xdr:colOff>
      <xdr:row>22</xdr:row>
      <xdr:rowOff>95250</xdr:rowOff>
    </xdr:from>
    <xdr:to>
      <xdr:col>15</xdr:col>
      <xdr:colOff>161925</xdr:colOff>
      <xdr:row>24</xdr:row>
      <xdr:rowOff>114301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3838575" y="4733925"/>
          <a:ext cx="1285875" cy="438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+mn-lt"/>
              <a:cs typeface="Times New Roman"/>
            </a:rPr>
            <a:t>¾</a:t>
          </a:r>
          <a:r>
            <a:rPr lang="en-US" sz="1000" b="1">
              <a:latin typeface="+mn-lt"/>
              <a:cs typeface="Times New Roman"/>
            </a:rPr>
            <a:t>" to 2" washed crushed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22</xdr:col>
      <xdr:colOff>142875</xdr:colOff>
      <xdr:row>23</xdr:row>
      <xdr:rowOff>38101</xdr:rowOff>
    </xdr:from>
    <xdr:to>
      <xdr:col>29</xdr:col>
      <xdr:colOff>47625</xdr:colOff>
      <xdr:row>25</xdr:row>
      <xdr:rowOff>76201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6572250" y="4886326"/>
          <a:ext cx="13716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1" baseline="0">
              <a:latin typeface="+mn-lt"/>
              <a:cs typeface="Times New Roman"/>
            </a:rPr>
            <a:t>6 </a:t>
          </a:r>
          <a:r>
            <a:rPr lang="en-US" sz="1000" b="1">
              <a:latin typeface="+mn-lt"/>
              <a:cs typeface="Times New Roman"/>
            </a:rPr>
            <a:t>oz. non-woven filter fabric around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32</xdr:col>
      <xdr:colOff>96116</xdr:colOff>
      <xdr:row>50</xdr:row>
      <xdr:rowOff>159327</xdr:rowOff>
    </xdr:from>
    <xdr:to>
      <xdr:col>32</xdr:col>
      <xdr:colOff>96116</xdr:colOff>
      <xdr:row>56</xdr:row>
      <xdr:rowOff>90747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 bwMode="auto">
        <a:xfrm>
          <a:off x="8620991" y="10617777"/>
          <a:ext cx="0" cy="11887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96116</xdr:colOff>
      <xdr:row>44</xdr:row>
      <xdr:rowOff>187902</xdr:rowOff>
    </xdr:from>
    <xdr:to>
      <xdr:col>32</xdr:col>
      <xdr:colOff>96116</xdr:colOff>
      <xdr:row>49</xdr:row>
      <xdr:rowOff>54552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CxnSpPr/>
      </xdr:nvCxnSpPr>
      <xdr:spPr bwMode="auto">
        <a:xfrm flipV="1">
          <a:off x="8620991" y="9389052"/>
          <a:ext cx="0" cy="9144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26266</xdr:colOff>
      <xdr:row>50</xdr:row>
      <xdr:rowOff>22802</xdr:rowOff>
    </xdr:from>
    <xdr:to>
      <xdr:col>32</xdr:col>
      <xdr:colOff>103525</xdr:colOff>
      <xdr:row>50</xdr:row>
      <xdr:rowOff>152977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/>
      </xdr:nvCxnSpPr>
      <xdr:spPr bwMode="auto">
        <a:xfrm flipH="1" flipV="1">
          <a:off x="8341591" y="10481252"/>
          <a:ext cx="286809" cy="1301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86593</xdr:colOff>
      <xdr:row>49</xdr:row>
      <xdr:rowOff>45030</xdr:rowOff>
    </xdr:from>
    <xdr:to>
      <xdr:col>34</xdr:col>
      <xdr:colOff>866</xdr:colOff>
      <xdr:row>49</xdr:row>
      <xdr:rowOff>149802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/>
      </xdr:nvCxnSpPr>
      <xdr:spPr bwMode="auto">
        <a:xfrm flipH="1" flipV="1">
          <a:off x="8611468" y="10293930"/>
          <a:ext cx="333373" cy="10477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10391</xdr:colOff>
      <xdr:row>49</xdr:row>
      <xdr:rowOff>158269</xdr:rowOff>
    </xdr:from>
    <xdr:to>
      <xdr:col>34</xdr:col>
      <xdr:colOff>10391</xdr:colOff>
      <xdr:row>50</xdr:row>
      <xdr:rowOff>22803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CxnSpPr/>
      </xdr:nvCxnSpPr>
      <xdr:spPr bwMode="auto">
        <a:xfrm flipV="1">
          <a:off x="8325716" y="10407169"/>
          <a:ext cx="628650" cy="7408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102177</xdr:colOff>
      <xdr:row>41</xdr:row>
      <xdr:rowOff>173179</xdr:rowOff>
    </xdr:from>
    <xdr:to>
      <xdr:col>55</xdr:col>
      <xdr:colOff>102177</xdr:colOff>
      <xdr:row>48</xdr:row>
      <xdr:rowOff>169369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CxnSpPr/>
      </xdr:nvCxnSpPr>
      <xdr:spPr bwMode="auto">
        <a:xfrm flipV="1">
          <a:off x="13446702" y="8745679"/>
          <a:ext cx="0" cy="1463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102177</xdr:colOff>
      <xdr:row>50</xdr:row>
      <xdr:rowOff>51953</xdr:rowOff>
    </xdr:from>
    <xdr:to>
      <xdr:col>55</xdr:col>
      <xdr:colOff>102177</xdr:colOff>
      <xdr:row>59</xdr:row>
      <xdr:rowOff>86243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CxnSpPr/>
      </xdr:nvCxnSpPr>
      <xdr:spPr bwMode="auto">
        <a:xfrm>
          <a:off x="13446702" y="10510403"/>
          <a:ext cx="0" cy="19202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190500</xdr:colOff>
      <xdr:row>41</xdr:row>
      <xdr:rowOff>161541</xdr:rowOff>
    </xdr:from>
    <xdr:to>
      <xdr:col>55</xdr:col>
      <xdr:colOff>175260</xdr:colOff>
      <xdr:row>41</xdr:row>
      <xdr:rowOff>161541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CxnSpPr/>
      </xdr:nvCxnSpPr>
      <xdr:spPr bwMode="auto">
        <a:xfrm>
          <a:off x="12696825" y="8734041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190499</xdr:colOff>
      <xdr:row>59</xdr:row>
      <xdr:rowOff>90054</xdr:rowOff>
    </xdr:from>
    <xdr:to>
      <xdr:col>55</xdr:col>
      <xdr:colOff>175259</xdr:colOff>
      <xdr:row>59</xdr:row>
      <xdr:rowOff>90054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CxnSpPr/>
      </xdr:nvCxnSpPr>
      <xdr:spPr bwMode="auto">
        <a:xfrm>
          <a:off x="12696824" y="12434454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115166</xdr:colOff>
      <xdr:row>59</xdr:row>
      <xdr:rowOff>14719</xdr:rowOff>
    </xdr:from>
    <xdr:to>
      <xdr:col>10</xdr:col>
      <xdr:colOff>115166</xdr:colOff>
      <xdr:row>62</xdr:row>
      <xdr:rowOff>26149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CxnSpPr/>
      </xdr:nvCxnSpPr>
      <xdr:spPr bwMode="auto">
        <a:xfrm>
          <a:off x="4029941" y="12359119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95251</xdr:colOff>
      <xdr:row>59</xdr:row>
      <xdr:rowOff>17318</xdr:rowOff>
    </xdr:from>
    <xdr:to>
      <xdr:col>52</xdr:col>
      <xdr:colOff>95251</xdr:colOff>
      <xdr:row>62</xdr:row>
      <xdr:rowOff>28748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CxnSpPr/>
      </xdr:nvCxnSpPr>
      <xdr:spPr bwMode="auto">
        <a:xfrm>
          <a:off x="12811126" y="12361718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123824</xdr:colOff>
      <xdr:row>61</xdr:row>
      <xdr:rowOff>118629</xdr:rowOff>
    </xdr:from>
    <xdr:to>
      <xdr:col>25</xdr:col>
      <xdr:colOff>89534</xdr:colOff>
      <xdr:row>61</xdr:row>
      <xdr:rowOff>118629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CxnSpPr/>
      </xdr:nvCxnSpPr>
      <xdr:spPr bwMode="auto">
        <a:xfrm flipH="1">
          <a:off x="4038599" y="12882129"/>
          <a:ext cx="3108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29</xdr:col>
      <xdr:colOff>77065</xdr:colOff>
      <xdr:row>61</xdr:row>
      <xdr:rowOff>118629</xdr:rowOff>
    </xdr:from>
    <xdr:to>
      <xdr:col>52</xdr:col>
      <xdr:colOff>103735</xdr:colOff>
      <xdr:row>61</xdr:row>
      <xdr:rowOff>118629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CxnSpPr/>
      </xdr:nvCxnSpPr>
      <xdr:spPr bwMode="auto">
        <a:xfrm flipH="1">
          <a:off x="7973290" y="12882129"/>
          <a:ext cx="4846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8659</xdr:colOff>
      <xdr:row>39</xdr:row>
      <xdr:rowOff>38100</xdr:rowOff>
    </xdr:from>
    <xdr:to>
      <xdr:col>8</xdr:col>
      <xdr:colOff>8659</xdr:colOff>
      <xdr:row>40</xdr:row>
      <xdr:rowOff>148590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CxnSpPr/>
      </xdr:nvCxnSpPr>
      <xdr:spPr bwMode="auto">
        <a:xfrm>
          <a:off x="3504334" y="8191500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9524</xdr:colOff>
      <xdr:row>39</xdr:row>
      <xdr:rowOff>38100</xdr:rowOff>
    </xdr:from>
    <xdr:to>
      <xdr:col>53</xdr:col>
      <xdr:colOff>9524</xdr:colOff>
      <xdr:row>40</xdr:row>
      <xdr:rowOff>148590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CxnSpPr/>
      </xdr:nvCxnSpPr>
      <xdr:spPr bwMode="auto">
        <a:xfrm>
          <a:off x="12934949" y="8191500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18185</xdr:colOff>
      <xdr:row>39</xdr:row>
      <xdr:rowOff>127287</xdr:rowOff>
    </xdr:from>
    <xdr:to>
      <xdr:col>32</xdr:col>
      <xdr:colOff>18185</xdr:colOff>
      <xdr:row>39</xdr:row>
      <xdr:rowOff>127287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CxnSpPr/>
      </xdr:nvCxnSpPr>
      <xdr:spPr bwMode="auto">
        <a:xfrm flipH="1">
          <a:off x="3513860" y="8280687"/>
          <a:ext cx="5029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27707</xdr:colOff>
      <xdr:row>39</xdr:row>
      <xdr:rowOff>127287</xdr:rowOff>
    </xdr:from>
    <xdr:to>
      <xdr:col>52</xdr:col>
      <xdr:colOff>195347</xdr:colOff>
      <xdr:row>39</xdr:row>
      <xdr:rowOff>127287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CxnSpPr/>
      </xdr:nvCxnSpPr>
      <xdr:spPr bwMode="auto">
        <a:xfrm flipH="1">
          <a:off x="9390782" y="8280687"/>
          <a:ext cx="35204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45028</xdr:colOff>
      <xdr:row>41</xdr:row>
      <xdr:rowOff>11257</xdr:rowOff>
    </xdr:from>
    <xdr:to>
      <xdr:col>58</xdr:col>
      <xdr:colOff>94558</xdr:colOff>
      <xdr:row>41</xdr:row>
      <xdr:rowOff>11257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CxnSpPr/>
      </xdr:nvCxnSpPr>
      <xdr:spPr bwMode="auto">
        <a:xfrm>
          <a:off x="12970453" y="8583757"/>
          <a:ext cx="10972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34636</xdr:colOff>
      <xdr:row>59</xdr:row>
      <xdr:rowOff>201273</xdr:rowOff>
    </xdr:from>
    <xdr:to>
      <xdr:col>58</xdr:col>
      <xdr:colOff>84166</xdr:colOff>
      <xdr:row>59</xdr:row>
      <xdr:rowOff>201273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CxnSpPr/>
      </xdr:nvCxnSpPr>
      <xdr:spPr bwMode="auto">
        <a:xfrm>
          <a:off x="12960061" y="12545673"/>
          <a:ext cx="10972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57</xdr:col>
      <xdr:colOff>197427</xdr:colOff>
      <xdr:row>41</xdr:row>
      <xdr:rowOff>11256</xdr:rowOff>
    </xdr:from>
    <xdr:to>
      <xdr:col>57</xdr:col>
      <xdr:colOff>197427</xdr:colOff>
      <xdr:row>50</xdr:row>
      <xdr:rowOff>136986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CxnSpPr/>
      </xdr:nvCxnSpPr>
      <xdr:spPr bwMode="auto">
        <a:xfrm flipV="1">
          <a:off x="13961052" y="8583756"/>
          <a:ext cx="0" cy="20116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57</xdr:col>
      <xdr:colOff>197427</xdr:colOff>
      <xdr:row>52</xdr:row>
      <xdr:rowOff>103909</xdr:rowOff>
    </xdr:from>
    <xdr:to>
      <xdr:col>57</xdr:col>
      <xdr:colOff>197427</xdr:colOff>
      <xdr:row>59</xdr:row>
      <xdr:rowOff>191539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CxnSpPr/>
      </xdr:nvCxnSpPr>
      <xdr:spPr bwMode="auto">
        <a:xfrm>
          <a:off x="13961052" y="10981459"/>
          <a:ext cx="0" cy="1554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107372</xdr:colOff>
      <xdr:row>44</xdr:row>
      <xdr:rowOff>97848</xdr:rowOff>
    </xdr:from>
    <xdr:to>
      <xdr:col>16</xdr:col>
      <xdr:colOff>107372</xdr:colOff>
      <xdr:row>45</xdr:row>
      <xdr:rowOff>25458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CxnSpPr/>
      </xdr:nvCxnSpPr>
      <xdr:spPr bwMode="auto">
        <a:xfrm>
          <a:off x="5279447" y="9298998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48490</xdr:colOff>
      <xdr:row>44</xdr:row>
      <xdr:rowOff>97848</xdr:rowOff>
    </xdr:from>
    <xdr:to>
      <xdr:col>21</xdr:col>
      <xdr:colOff>48490</xdr:colOff>
      <xdr:row>45</xdr:row>
      <xdr:rowOff>25458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CxnSpPr/>
      </xdr:nvCxnSpPr>
      <xdr:spPr bwMode="auto">
        <a:xfrm>
          <a:off x="6268315" y="9298998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116897</xdr:colOff>
      <xdr:row>44</xdr:row>
      <xdr:rowOff>170584</xdr:rowOff>
    </xdr:from>
    <xdr:to>
      <xdr:col>21</xdr:col>
      <xdr:colOff>37926</xdr:colOff>
      <xdr:row>44</xdr:row>
      <xdr:rowOff>170584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CxnSpPr/>
      </xdr:nvCxnSpPr>
      <xdr:spPr bwMode="auto">
        <a:xfrm flipH="1">
          <a:off x="5288972" y="9371734"/>
          <a:ext cx="96877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10</xdr:col>
      <xdr:colOff>67541</xdr:colOff>
      <xdr:row>41</xdr:row>
      <xdr:rowOff>123132</xdr:rowOff>
    </xdr:from>
    <xdr:to>
      <xdr:col>53</xdr:col>
      <xdr:colOff>866</xdr:colOff>
      <xdr:row>44</xdr:row>
      <xdr:rowOff>61410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3982316" y="8695632"/>
          <a:ext cx="8943975" cy="566928"/>
        </a:xfrm>
        <a:prstGeom prst="rect">
          <a:avLst/>
        </a:prstGeom>
      </xdr:spPr>
    </xdr:pic>
    <xdr:clientData/>
  </xdr:twoCellAnchor>
  <xdr:twoCellAnchor editAs="oneCell">
    <xdr:from>
      <xdr:col>10</xdr:col>
      <xdr:colOff>67541</xdr:colOff>
      <xdr:row>56</xdr:row>
      <xdr:rowOff>178377</xdr:rowOff>
    </xdr:from>
    <xdr:to>
      <xdr:col>53</xdr:col>
      <xdr:colOff>866</xdr:colOff>
      <xdr:row>59</xdr:row>
      <xdr:rowOff>116655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3982316" y="11894127"/>
          <a:ext cx="8943975" cy="566928"/>
        </a:xfrm>
        <a:prstGeom prst="rect">
          <a:avLst/>
        </a:prstGeom>
      </xdr:spPr>
    </xdr:pic>
    <xdr:clientData/>
  </xdr:twoCellAnchor>
  <xdr:twoCellAnchor>
    <xdr:from>
      <xdr:col>14</xdr:col>
      <xdr:colOff>162790</xdr:colOff>
      <xdr:row>60</xdr:row>
      <xdr:rowOff>11257</xdr:rowOff>
    </xdr:from>
    <xdr:to>
      <xdr:col>14</xdr:col>
      <xdr:colOff>162790</xdr:colOff>
      <xdr:row>60</xdr:row>
      <xdr:rowOff>195869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CxnSpPr/>
      </xdr:nvCxnSpPr>
      <xdr:spPr bwMode="auto">
        <a:xfrm flipH="1">
          <a:off x="4915765" y="12565207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153266</xdr:colOff>
      <xdr:row>58</xdr:row>
      <xdr:rowOff>102177</xdr:rowOff>
    </xdr:from>
    <xdr:to>
      <xdr:col>14</xdr:col>
      <xdr:colOff>153266</xdr:colOff>
      <xdr:row>59</xdr:row>
      <xdr:rowOff>77239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CxnSpPr/>
      </xdr:nvCxnSpPr>
      <xdr:spPr bwMode="auto">
        <a:xfrm flipH="1">
          <a:off x="4906241" y="12237027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38966</xdr:colOff>
      <xdr:row>55</xdr:row>
      <xdr:rowOff>206952</xdr:rowOff>
    </xdr:from>
    <xdr:to>
      <xdr:col>51</xdr:col>
      <xdr:colOff>38966</xdr:colOff>
      <xdr:row>56</xdr:row>
      <xdr:rowOff>152850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CxnSpPr/>
      </xdr:nvCxnSpPr>
      <xdr:spPr bwMode="auto">
        <a:xfrm>
          <a:off x="12545291" y="11713152"/>
          <a:ext cx="0" cy="15544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86591</xdr:colOff>
      <xdr:row>55</xdr:row>
      <xdr:rowOff>206952</xdr:rowOff>
    </xdr:from>
    <xdr:to>
      <xdr:col>52</xdr:col>
      <xdr:colOff>86591</xdr:colOff>
      <xdr:row>57</xdr:row>
      <xdr:rowOff>62172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CxnSpPr/>
      </xdr:nvCxnSpPr>
      <xdr:spPr bwMode="auto">
        <a:xfrm>
          <a:off x="12802466" y="11713152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38966</xdr:colOff>
      <xdr:row>56</xdr:row>
      <xdr:rowOff>35502</xdr:rowOff>
    </xdr:from>
    <xdr:to>
      <xdr:col>52</xdr:col>
      <xdr:colOff>85448</xdr:colOff>
      <xdr:row>56</xdr:row>
      <xdr:rowOff>35502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CxnSpPr/>
      </xdr:nvCxnSpPr>
      <xdr:spPr bwMode="auto">
        <a:xfrm flipH="1">
          <a:off x="12545291" y="11751252"/>
          <a:ext cx="25603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162791</xdr:colOff>
      <xdr:row>44</xdr:row>
      <xdr:rowOff>141144</xdr:rowOff>
    </xdr:from>
    <xdr:to>
      <xdr:col>52</xdr:col>
      <xdr:colOff>90401</xdr:colOff>
      <xdr:row>44</xdr:row>
      <xdr:rowOff>141144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CxnSpPr/>
      </xdr:nvCxnSpPr>
      <xdr:spPr bwMode="auto">
        <a:xfrm flipH="1">
          <a:off x="12669116" y="9342294"/>
          <a:ext cx="1371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13855</xdr:colOff>
      <xdr:row>44</xdr:row>
      <xdr:rowOff>141143</xdr:rowOff>
    </xdr:from>
    <xdr:to>
      <xdr:col>53</xdr:col>
      <xdr:colOff>151015</xdr:colOff>
      <xdr:row>44</xdr:row>
      <xdr:rowOff>141143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CxnSpPr/>
      </xdr:nvCxnSpPr>
      <xdr:spPr bwMode="auto">
        <a:xfrm flipH="1">
          <a:off x="12939280" y="9342293"/>
          <a:ext cx="1371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90054</xdr:colOff>
      <xdr:row>43</xdr:row>
      <xdr:rowOff>140277</xdr:rowOff>
    </xdr:from>
    <xdr:to>
      <xdr:col>52</xdr:col>
      <xdr:colOff>90054</xdr:colOff>
      <xdr:row>44</xdr:row>
      <xdr:rowOff>205047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CxnSpPr/>
      </xdr:nvCxnSpPr>
      <xdr:spPr bwMode="auto">
        <a:xfrm>
          <a:off x="12805929" y="9131877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32</xdr:col>
      <xdr:colOff>94043</xdr:colOff>
      <xdr:row>1</xdr:row>
      <xdr:rowOff>209549</xdr:rowOff>
    </xdr:from>
    <xdr:to>
      <xdr:col>39</xdr:col>
      <xdr:colOff>85725</xdr:colOff>
      <xdr:row>3</xdr:row>
      <xdr:rowOff>161925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8918" y="447674"/>
          <a:ext cx="1458532" cy="371476"/>
        </a:xfrm>
        <a:prstGeom prst="rect">
          <a:avLst/>
        </a:prstGeom>
      </xdr:spPr>
    </xdr:pic>
    <xdr:clientData/>
  </xdr:twoCellAnchor>
  <xdr:twoCellAnchor>
    <xdr:from>
      <xdr:col>13</xdr:col>
      <xdr:colOff>152400</xdr:colOff>
      <xdr:row>23</xdr:row>
      <xdr:rowOff>180975</xdr:rowOff>
    </xdr:from>
    <xdr:to>
      <xdr:col>16</xdr:col>
      <xdr:colOff>95250</xdr:colOff>
      <xdr:row>26</xdr:row>
      <xdr:rowOff>0</xdr:rowOff>
    </xdr:to>
    <xdr:cxnSp macro="">
      <xdr:nvCxnSpPr>
        <xdr:cNvPr id="69" name="Curved Connector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CxnSpPr/>
      </xdr:nvCxnSpPr>
      <xdr:spPr bwMode="auto">
        <a:xfrm>
          <a:off x="4695825" y="5029200"/>
          <a:ext cx="571500" cy="400050"/>
        </a:xfrm>
        <a:prstGeom prst="curvedConnector3">
          <a:avLst>
            <a:gd name="adj1" fmla="val 3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208025</xdr:colOff>
      <xdr:row>47</xdr:row>
      <xdr:rowOff>138115</xdr:rowOff>
    </xdr:from>
    <xdr:to>
      <xdr:col>10</xdr:col>
      <xdr:colOff>209549</xdr:colOff>
      <xdr:row>50</xdr:row>
      <xdr:rowOff>103825</xdr:rowOff>
    </xdr:to>
    <xdr:sp macro="" textlink="">
      <xdr:nvSpPr>
        <xdr:cNvPr id="70" name="L-Shape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 rot="5400000">
          <a:off x="3616832" y="10054783"/>
          <a:ext cx="594360" cy="420624"/>
        </a:xfrm>
        <a:prstGeom prst="corner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209549</xdr:colOff>
      <xdr:row>55</xdr:row>
      <xdr:rowOff>190499</xdr:rowOff>
    </xdr:from>
    <xdr:to>
      <xdr:col>11</xdr:col>
      <xdr:colOff>1523</xdr:colOff>
      <xdr:row>58</xdr:row>
      <xdr:rowOff>156209</xdr:rowOff>
    </xdr:to>
    <xdr:sp macro="" textlink="">
      <xdr:nvSpPr>
        <xdr:cNvPr id="71" name="L-Shape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3705224" y="11696699"/>
          <a:ext cx="420624" cy="594360"/>
        </a:xfrm>
        <a:prstGeom prst="corner">
          <a:avLst>
            <a:gd name="adj1" fmla="val 50000"/>
            <a:gd name="adj2" fmla="val 5215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15</xdr:row>
          <xdr:rowOff>200025</xdr:rowOff>
        </xdr:from>
        <xdr:to>
          <xdr:col>3</xdr:col>
          <xdr:colOff>209550</xdr:colOff>
          <xdr:row>17</xdr:row>
          <xdr:rowOff>9525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17</xdr:row>
          <xdr:rowOff>200025</xdr:rowOff>
        </xdr:from>
        <xdr:to>
          <xdr:col>3</xdr:col>
          <xdr:colOff>209550</xdr:colOff>
          <xdr:row>19</xdr:row>
          <xdr:rowOff>9525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178378</xdr:colOff>
      <xdr:row>47</xdr:row>
      <xdr:rowOff>164038</xdr:rowOff>
    </xdr:from>
    <xdr:to>
      <xdr:col>6</xdr:col>
      <xdr:colOff>178378</xdr:colOff>
      <xdr:row>53</xdr:row>
      <xdr:rowOff>4018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CxnSpPr/>
      </xdr:nvCxnSpPr>
      <xdr:spPr bwMode="auto">
        <a:xfrm flipV="1">
          <a:off x="3254953" y="9993838"/>
          <a:ext cx="0" cy="10972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178378</xdr:colOff>
      <xdr:row>54</xdr:row>
      <xdr:rowOff>33287</xdr:rowOff>
    </xdr:from>
    <xdr:to>
      <xdr:col>6</xdr:col>
      <xdr:colOff>178378</xdr:colOff>
      <xdr:row>58</xdr:row>
      <xdr:rowOff>109487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CxnSpPr/>
      </xdr:nvCxnSpPr>
      <xdr:spPr bwMode="auto">
        <a:xfrm>
          <a:off x="3254953" y="11329937"/>
          <a:ext cx="0" cy="9144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</xdr:colOff>
      <xdr:row>47</xdr:row>
      <xdr:rowOff>152400</xdr:rowOff>
    </xdr:from>
    <xdr:to>
      <xdr:col>8</xdr:col>
      <xdr:colOff>129541</xdr:colOff>
      <xdr:row>47</xdr:row>
      <xdr:rowOff>152400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CxnSpPr/>
      </xdr:nvCxnSpPr>
      <xdr:spPr bwMode="auto">
        <a:xfrm>
          <a:off x="3076576" y="9982200"/>
          <a:ext cx="5486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58</xdr:row>
      <xdr:rowOff>138063</xdr:rowOff>
    </xdr:from>
    <xdr:to>
      <xdr:col>8</xdr:col>
      <xdr:colOff>129540</xdr:colOff>
      <xdr:row>58</xdr:row>
      <xdr:rowOff>138063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CxnSpPr/>
      </xdr:nvCxnSpPr>
      <xdr:spPr bwMode="auto">
        <a:xfrm>
          <a:off x="3076575" y="12272913"/>
          <a:ext cx="5486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21</xdr:row>
          <xdr:rowOff>200025</xdr:rowOff>
        </xdr:from>
        <xdr:to>
          <xdr:col>3</xdr:col>
          <xdr:colOff>209550</xdr:colOff>
          <xdr:row>23</xdr:row>
          <xdr:rowOff>9525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114300</xdr:colOff>
      <xdr:row>53</xdr:row>
      <xdr:rowOff>161925</xdr:rowOff>
    </xdr:from>
    <xdr:to>
      <xdr:col>9</xdr:col>
      <xdr:colOff>114300</xdr:colOff>
      <xdr:row>55</xdr:row>
      <xdr:rowOff>200025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CxnSpPr/>
      </xdr:nvCxnSpPr>
      <xdr:spPr bwMode="auto">
        <a:xfrm>
          <a:off x="3819525" y="11249025"/>
          <a:ext cx="0" cy="4572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114300</xdr:colOff>
      <xdr:row>50</xdr:row>
      <xdr:rowOff>96329</xdr:rowOff>
    </xdr:from>
    <xdr:to>
      <xdr:col>9</xdr:col>
      <xdr:colOff>114300</xdr:colOff>
      <xdr:row>53</xdr:row>
      <xdr:rowOff>16319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CxnSpPr/>
      </xdr:nvCxnSpPr>
      <xdr:spPr bwMode="auto">
        <a:xfrm flipV="1">
          <a:off x="3819525" y="10554779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3594</xdr:colOff>
      <xdr:row>53</xdr:row>
      <xdr:rowOff>96509</xdr:rowOff>
    </xdr:from>
    <xdr:to>
      <xdr:col>9</xdr:col>
      <xdr:colOff>115019</xdr:colOff>
      <xdr:row>53</xdr:row>
      <xdr:rowOff>165520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CxnSpPr/>
      </xdr:nvCxnSpPr>
      <xdr:spPr bwMode="auto">
        <a:xfrm flipH="1" flipV="1">
          <a:off x="3708819" y="11183609"/>
          <a:ext cx="111425" cy="690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115019</xdr:colOff>
      <xdr:row>53</xdr:row>
      <xdr:rowOff>9884</xdr:rowOff>
    </xdr:from>
    <xdr:to>
      <xdr:col>10</xdr:col>
      <xdr:colOff>25161</xdr:colOff>
      <xdr:row>53</xdr:row>
      <xdr:rowOff>78178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CxnSpPr/>
      </xdr:nvCxnSpPr>
      <xdr:spPr bwMode="auto">
        <a:xfrm flipH="1" flipV="1">
          <a:off x="3820244" y="11096984"/>
          <a:ext cx="119692" cy="6829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204876</xdr:colOff>
      <xdr:row>53</xdr:row>
      <xdr:rowOff>78177</xdr:rowOff>
    </xdr:from>
    <xdr:to>
      <xdr:col>10</xdr:col>
      <xdr:colOff>32349</xdr:colOff>
      <xdr:row>53</xdr:row>
      <xdr:rowOff>95253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CxnSpPr/>
      </xdr:nvCxnSpPr>
      <xdr:spPr bwMode="auto">
        <a:xfrm flipV="1">
          <a:off x="3700551" y="11165277"/>
          <a:ext cx="246573" cy="1707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</xdr:colOff>
      <xdr:row>59</xdr:row>
      <xdr:rowOff>19050</xdr:rowOff>
    </xdr:from>
    <xdr:to>
      <xdr:col>9</xdr:col>
      <xdr:colOff>9525</xdr:colOff>
      <xdr:row>62</xdr:row>
      <xdr:rowOff>30480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CxnSpPr/>
      </xdr:nvCxnSpPr>
      <xdr:spPr bwMode="auto">
        <a:xfrm>
          <a:off x="3714750" y="12363450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60</xdr:row>
      <xdr:rowOff>38100</xdr:rowOff>
    </xdr:from>
    <xdr:to>
      <xdr:col>8</xdr:col>
      <xdr:colOff>0</xdr:colOff>
      <xdr:row>62</xdr:row>
      <xdr:rowOff>30480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CxnSpPr/>
      </xdr:nvCxnSpPr>
      <xdr:spPr bwMode="auto">
        <a:xfrm>
          <a:off x="3495675" y="12592050"/>
          <a:ext cx="0" cy="411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</xdr:colOff>
      <xdr:row>61</xdr:row>
      <xdr:rowOff>114300</xdr:rowOff>
    </xdr:from>
    <xdr:to>
      <xdr:col>10</xdr:col>
      <xdr:colOff>120015</xdr:colOff>
      <xdr:row>61</xdr:row>
      <xdr:rowOff>114300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CxnSpPr/>
      </xdr:nvCxnSpPr>
      <xdr:spPr bwMode="auto">
        <a:xfrm flipH="1">
          <a:off x="3714750" y="12877800"/>
          <a:ext cx="3200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61</xdr:row>
      <xdr:rowOff>114300</xdr:rowOff>
    </xdr:from>
    <xdr:to>
      <xdr:col>9</xdr:col>
      <xdr:colOff>9906</xdr:colOff>
      <xdr:row>61</xdr:row>
      <xdr:rowOff>114300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CxnSpPr/>
      </xdr:nvCxnSpPr>
      <xdr:spPr bwMode="auto">
        <a:xfrm flipH="1">
          <a:off x="3495675" y="12877800"/>
          <a:ext cx="21945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11</xdr:row>
          <xdr:rowOff>200025</xdr:rowOff>
        </xdr:from>
        <xdr:to>
          <xdr:col>3</xdr:col>
          <xdr:colOff>209550</xdr:colOff>
          <xdr:row>13</xdr:row>
          <xdr:rowOff>9525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13</xdr:row>
          <xdr:rowOff>200025</xdr:rowOff>
        </xdr:from>
        <xdr:to>
          <xdr:col>3</xdr:col>
          <xdr:colOff>209550</xdr:colOff>
          <xdr:row>15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19</xdr:row>
          <xdr:rowOff>200025</xdr:rowOff>
        </xdr:from>
        <xdr:to>
          <xdr:col>3</xdr:col>
          <xdr:colOff>209550</xdr:colOff>
          <xdr:row>21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</xdr:row>
          <xdr:rowOff>200025</xdr:rowOff>
        </xdr:from>
        <xdr:to>
          <xdr:col>3</xdr:col>
          <xdr:colOff>200025</xdr:colOff>
          <xdr:row>5</xdr:row>
          <xdr:rowOff>9525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6</xdr:row>
          <xdr:rowOff>200025</xdr:rowOff>
        </xdr:from>
        <xdr:to>
          <xdr:col>3</xdr:col>
          <xdr:colOff>200025</xdr:colOff>
          <xdr:row>8</xdr:row>
          <xdr:rowOff>9525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5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180975</xdr:colOff>
      <xdr:row>4</xdr:row>
      <xdr:rowOff>161925</xdr:rowOff>
    </xdr:from>
    <xdr:to>
      <xdr:col>16</xdr:col>
      <xdr:colOff>155879</xdr:colOff>
      <xdr:row>10</xdr:row>
      <xdr:rowOff>52748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7100" y="1028700"/>
          <a:ext cx="1860854" cy="1148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95249</xdr:colOff>
      <xdr:row>4</xdr:row>
      <xdr:rowOff>0</xdr:rowOff>
    </xdr:from>
    <xdr:to>
      <xdr:col>39</xdr:col>
      <xdr:colOff>104776</xdr:colOff>
      <xdr:row>35</xdr:row>
      <xdr:rowOff>133350</xdr:rowOff>
    </xdr:to>
    <xdr:sp macro="" textlink="">
      <xdr:nvSpPr>
        <xdr:cNvPr id="5" name="Round Diagonal Corner 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3171824" y="866775"/>
          <a:ext cx="6924677" cy="6581775"/>
        </a:xfrm>
        <a:prstGeom prst="round2DiagRect">
          <a:avLst/>
        </a:prstGeom>
        <a:noFill/>
        <a:ln w="317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114300</xdr:colOff>
      <xdr:row>23</xdr:row>
      <xdr:rowOff>104776</xdr:rowOff>
    </xdr:from>
    <xdr:to>
      <xdr:col>32</xdr:col>
      <xdr:colOff>179070</xdr:colOff>
      <xdr:row>31</xdr:row>
      <xdr:rowOff>170376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5"/>
        <a:stretch/>
      </xdr:blipFill>
      <xdr:spPr>
        <a:xfrm>
          <a:off x="3400425" y="4953001"/>
          <a:ext cx="5303520" cy="1694375"/>
        </a:xfrm>
        <a:prstGeom prst="rect">
          <a:avLst/>
        </a:prstGeom>
      </xdr:spPr>
    </xdr:pic>
    <xdr:clientData/>
  </xdr:twoCellAnchor>
  <xdr:twoCellAnchor>
    <xdr:from>
      <xdr:col>36</xdr:col>
      <xdr:colOff>9525</xdr:colOff>
      <xdr:row>25</xdr:row>
      <xdr:rowOff>19050</xdr:rowOff>
    </xdr:from>
    <xdr:to>
      <xdr:col>36</xdr:col>
      <xdr:colOff>9525</xdr:colOff>
      <xdr:row>25</xdr:row>
      <xdr:rowOff>201930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 bwMode="auto">
        <a:xfrm>
          <a:off x="9372600" y="5238750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9525</xdr:colOff>
      <xdr:row>28</xdr:row>
      <xdr:rowOff>161925</xdr:rowOff>
    </xdr:from>
    <xdr:to>
      <xdr:col>36</xdr:col>
      <xdr:colOff>9525</xdr:colOff>
      <xdr:row>30</xdr:row>
      <xdr:rowOff>200025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 bwMode="auto">
        <a:xfrm>
          <a:off x="9372600" y="6010275"/>
          <a:ext cx="0" cy="4572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95250</xdr:colOff>
      <xdr:row>33</xdr:row>
      <xdr:rowOff>123826</xdr:rowOff>
    </xdr:from>
    <xdr:to>
      <xdr:col>19</xdr:col>
      <xdr:colOff>167640</xdr:colOff>
      <xdr:row>33</xdr:row>
      <xdr:rowOff>123826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 bwMode="auto">
        <a:xfrm>
          <a:off x="3590925" y="7019926"/>
          <a:ext cx="23774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47625</xdr:colOff>
      <xdr:row>33</xdr:row>
      <xdr:rowOff>123826</xdr:rowOff>
    </xdr:from>
    <xdr:to>
      <xdr:col>32</xdr:col>
      <xdr:colOff>51435</xdr:colOff>
      <xdr:row>33</xdr:row>
      <xdr:rowOff>123826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 bwMode="auto">
        <a:xfrm>
          <a:off x="7524750" y="7019926"/>
          <a:ext cx="105156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95250</xdr:colOff>
      <xdr:row>31</xdr:row>
      <xdr:rowOff>1</xdr:rowOff>
    </xdr:from>
    <xdr:to>
      <xdr:col>36</xdr:col>
      <xdr:colOff>80010</xdr:colOff>
      <xdr:row>31</xdr:row>
      <xdr:rowOff>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 bwMode="auto">
        <a:xfrm>
          <a:off x="8620125" y="6477001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85725</xdr:colOff>
      <xdr:row>31</xdr:row>
      <xdr:rowOff>19051</xdr:rowOff>
    </xdr:from>
    <xdr:to>
      <xdr:col>8</xdr:col>
      <xdr:colOff>85725</xdr:colOff>
      <xdr:row>34</xdr:row>
      <xdr:rowOff>30481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 bwMode="auto">
        <a:xfrm>
          <a:off x="3581400" y="6496051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57150</xdr:colOff>
      <xdr:row>31</xdr:row>
      <xdr:rowOff>28576</xdr:rowOff>
    </xdr:from>
    <xdr:to>
      <xdr:col>32</xdr:col>
      <xdr:colOff>57150</xdr:colOff>
      <xdr:row>34</xdr:row>
      <xdr:rowOff>40006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 bwMode="auto">
        <a:xfrm>
          <a:off x="8582025" y="6505576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104775</xdr:colOff>
      <xdr:row>25</xdr:row>
      <xdr:rowOff>19051</xdr:rowOff>
    </xdr:from>
    <xdr:to>
      <xdr:col>36</xdr:col>
      <xdr:colOff>89535</xdr:colOff>
      <xdr:row>25</xdr:row>
      <xdr:rowOff>19051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 bwMode="auto">
        <a:xfrm>
          <a:off x="8629650" y="5238751"/>
          <a:ext cx="822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66675</xdr:colOff>
      <xdr:row>30</xdr:row>
      <xdr:rowOff>28576</xdr:rowOff>
    </xdr:from>
    <xdr:to>
      <xdr:col>34</xdr:col>
      <xdr:colOff>32385</xdr:colOff>
      <xdr:row>30</xdr:row>
      <xdr:rowOff>28576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 bwMode="auto">
        <a:xfrm>
          <a:off x="8382000" y="6296026"/>
          <a:ext cx="5943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0</xdr:colOff>
      <xdr:row>26</xdr:row>
      <xdr:rowOff>38101</xdr:rowOff>
    </xdr:from>
    <xdr:to>
      <xdr:col>34</xdr:col>
      <xdr:colOff>68580</xdr:colOff>
      <xdr:row>26</xdr:row>
      <xdr:rowOff>38101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 bwMode="auto">
        <a:xfrm>
          <a:off x="7686675" y="5467351"/>
          <a:ext cx="1325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95250</xdr:colOff>
      <xdr:row>30</xdr:row>
      <xdr:rowOff>57151</xdr:rowOff>
    </xdr:from>
    <xdr:to>
      <xdr:col>9</xdr:col>
      <xdr:colOff>95250</xdr:colOff>
      <xdr:row>32</xdr:row>
      <xdr:rowOff>186691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 bwMode="auto">
        <a:xfrm>
          <a:off x="3800475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57150</xdr:colOff>
      <xdr:row>30</xdr:row>
      <xdr:rowOff>57151</xdr:rowOff>
    </xdr:from>
    <xdr:to>
      <xdr:col>16</xdr:col>
      <xdr:colOff>57150</xdr:colOff>
      <xdr:row>32</xdr:row>
      <xdr:rowOff>186691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 bwMode="auto">
        <a:xfrm>
          <a:off x="5229225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200025</xdr:colOff>
      <xdr:row>30</xdr:row>
      <xdr:rowOff>57151</xdr:rowOff>
    </xdr:from>
    <xdr:to>
      <xdr:col>16</xdr:col>
      <xdr:colOff>200025</xdr:colOff>
      <xdr:row>32</xdr:row>
      <xdr:rowOff>186691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 bwMode="auto">
        <a:xfrm>
          <a:off x="5372100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85725</xdr:colOff>
      <xdr:row>30</xdr:row>
      <xdr:rowOff>57151</xdr:rowOff>
    </xdr:from>
    <xdr:to>
      <xdr:col>24</xdr:col>
      <xdr:colOff>85725</xdr:colOff>
      <xdr:row>32</xdr:row>
      <xdr:rowOff>186691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 bwMode="auto">
        <a:xfrm>
          <a:off x="6934200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38100</xdr:colOff>
      <xdr:row>30</xdr:row>
      <xdr:rowOff>57151</xdr:rowOff>
    </xdr:from>
    <xdr:to>
      <xdr:col>31</xdr:col>
      <xdr:colOff>38100</xdr:colOff>
      <xdr:row>32</xdr:row>
      <xdr:rowOff>186691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 bwMode="auto">
        <a:xfrm>
          <a:off x="8353425" y="6324601"/>
          <a:ext cx="0" cy="5486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95250</xdr:colOff>
      <xdr:row>32</xdr:row>
      <xdr:rowOff>123826</xdr:rowOff>
    </xdr:from>
    <xdr:to>
      <xdr:col>10</xdr:col>
      <xdr:colOff>114300</xdr:colOff>
      <xdr:row>32</xdr:row>
      <xdr:rowOff>123826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/>
      </xdr:nvCxnSpPr>
      <xdr:spPr bwMode="auto">
        <a:xfrm>
          <a:off x="3800475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66675</xdr:colOff>
      <xdr:row>32</xdr:row>
      <xdr:rowOff>123826</xdr:rowOff>
    </xdr:from>
    <xdr:to>
      <xdr:col>8</xdr:col>
      <xdr:colOff>85725</xdr:colOff>
      <xdr:row>32</xdr:row>
      <xdr:rowOff>123826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 bwMode="auto">
        <a:xfrm>
          <a:off x="3352800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0</xdr:colOff>
      <xdr:row>32</xdr:row>
      <xdr:rowOff>123826</xdr:rowOff>
    </xdr:from>
    <xdr:to>
      <xdr:col>18</xdr:col>
      <xdr:colOff>19050</xdr:colOff>
      <xdr:row>32</xdr:row>
      <xdr:rowOff>123826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/>
      </xdr:nvCxnSpPr>
      <xdr:spPr bwMode="auto">
        <a:xfrm>
          <a:off x="5381625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28575</xdr:colOff>
      <xdr:row>32</xdr:row>
      <xdr:rowOff>123826</xdr:rowOff>
    </xdr:from>
    <xdr:to>
      <xdr:col>16</xdr:col>
      <xdr:colOff>47625</xdr:colOff>
      <xdr:row>32</xdr:row>
      <xdr:rowOff>123826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 bwMode="auto">
        <a:xfrm>
          <a:off x="4991100" y="6810376"/>
          <a:ext cx="2286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76200</xdr:colOff>
      <xdr:row>32</xdr:row>
      <xdr:rowOff>133351</xdr:rowOff>
    </xdr:from>
    <xdr:to>
      <xdr:col>26</xdr:col>
      <xdr:colOff>205740</xdr:colOff>
      <xdr:row>32</xdr:row>
      <xdr:rowOff>133351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 bwMode="auto">
        <a:xfrm>
          <a:off x="6924675" y="6819901"/>
          <a:ext cx="54864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180975</xdr:colOff>
      <xdr:row>32</xdr:row>
      <xdr:rowOff>133351</xdr:rowOff>
    </xdr:from>
    <xdr:to>
      <xdr:col>31</xdr:col>
      <xdr:colOff>36957</xdr:colOff>
      <xdr:row>32</xdr:row>
      <xdr:rowOff>133351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 bwMode="auto">
        <a:xfrm>
          <a:off x="7867650" y="6819901"/>
          <a:ext cx="484632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28</xdr:row>
      <xdr:rowOff>123826</xdr:rowOff>
    </xdr:from>
    <xdr:to>
      <xdr:col>33</xdr:col>
      <xdr:colOff>123825</xdr:colOff>
      <xdr:row>30</xdr:row>
      <xdr:rowOff>24766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/>
      </xdr:nvCxnSpPr>
      <xdr:spPr bwMode="auto">
        <a:xfrm>
          <a:off x="8858250" y="5972176"/>
          <a:ext cx="0" cy="32004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26</xdr:row>
      <xdr:rowOff>38101</xdr:rowOff>
    </xdr:from>
    <xdr:to>
      <xdr:col>33</xdr:col>
      <xdr:colOff>123825</xdr:colOff>
      <xdr:row>27</xdr:row>
      <xdr:rowOff>102871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 bwMode="auto">
        <a:xfrm>
          <a:off x="8858250" y="5467351"/>
          <a:ext cx="0" cy="2743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23</xdr:row>
      <xdr:rowOff>200026</xdr:rowOff>
    </xdr:from>
    <xdr:to>
      <xdr:col>33</xdr:col>
      <xdr:colOff>123825</xdr:colOff>
      <xdr:row>25</xdr:row>
      <xdr:rowOff>11431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/>
      </xdr:nvCxnSpPr>
      <xdr:spPr bwMode="auto">
        <a:xfrm>
          <a:off x="8858250" y="5048251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33</xdr:col>
      <xdr:colOff>123825</xdr:colOff>
      <xdr:row>31</xdr:row>
      <xdr:rowOff>1</xdr:rowOff>
    </xdr:from>
    <xdr:to>
      <xdr:col>33</xdr:col>
      <xdr:colOff>123825</xdr:colOff>
      <xdr:row>31</xdr:row>
      <xdr:rowOff>182881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 bwMode="auto">
        <a:xfrm>
          <a:off x="8858250" y="6477001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133350</xdr:colOff>
      <xdr:row>22</xdr:row>
      <xdr:rowOff>95250</xdr:rowOff>
    </xdr:from>
    <xdr:to>
      <xdr:col>15</xdr:col>
      <xdr:colOff>161925</xdr:colOff>
      <xdr:row>24</xdr:row>
      <xdr:rowOff>114301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3838575" y="4733925"/>
          <a:ext cx="1285875" cy="438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+mn-lt"/>
              <a:cs typeface="Times New Roman"/>
            </a:rPr>
            <a:t>¾</a:t>
          </a:r>
          <a:r>
            <a:rPr lang="en-US" sz="1000" b="1">
              <a:latin typeface="+mn-lt"/>
              <a:cs typeface="Times New Roman"/>
            </a:rPr>
            <a:t>" to 2" washed crushed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22</xdr:col>
      <xdr:colOff>142875</xdr:colOff>
      <xdr:row>23</xdr:row>
      <xdr:rowOff>38101</xdr:rowOff>
    </xdr:from>
    <xdr:to>
      <xdr:col>29</xdr:col>
      <xdr:colOff>47625</xdr:colOff>
      <xdr:row>25</xdr:row>
      <xdr:rowOff>76201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6572250" y="4886326"/>
          <a:ext cx="13716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1" baseline="0">
              <a:latin typeface="+mn-lt"/>
              <a:cs typeface="Times New Roman"/>
            </a:rPr>
            <a:t>6 </a:t>
          </a:r>
          <a:r>
            <a:rPr lang="en-US" sz="1000" b="1">
              <a:latin typeface="+mn-lt"/>
              <a:cs typeface="Times New Roman"/>
            </a:rPr>
            <a:t>oz. non-woven filter fabric around stone</a:t>
          </a:r>
          <a:endParaRPr lang="en-US" sz="1000" b="1">
            <a:latin typeface="+mn-lt"/>
          </a:endParaRPr>
        </a:p>
      </xdr:txBody>
    </xdr:sp>
    <xdr:clientData/>
  </xdr:twoCellAnchor>
  <xdr:twoCellAnchor>
    <xdr:from>
      <xdr:col>30</xdr:col>
      <xdr:colOff>29441</xdr:colOff>
      <xdr:row>50</xdr:row>
      <xdr:rowOff>159327</xdr:rowOff>
    </xdr:from>
    <xdr:to>
      <xdr:col>30</xdr:col>
      <xdr:colOff>29441</xdr:colOff>
      <xdr:row>56</xdr:row>
      <xdr:rowOff>90747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CxnSpPr/>
      </xdr:nvCxnSpPr>
      <xdr:spPr bwMode="auto">
        <a:xfrm>
          <a:off x="8135216" y="10617777"/>
          <a:ext cx="0" cy="11887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29441</xdr:colOff>
      <xdr:row>44</xdr:row>
      <xdr:rowOff>187902</xdr:rowOff>
    </xdr:from>
    <xdr:to>
      <xdr:col>30</xdr:col>
      <xdr:colOff>29441</xdr:colOff>
      <xdr:row>49</xdr:row>
      <xdr:rowOff>54552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CxnSpPr/>
      </xdr:nvCxnSpPr>
      <xdr:spPr bwMode="auto">
        <a:xfrm flipV="1">
          <a:off x="8135216" y="9389052"/>
          <a:ext cx="0" cy="9144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169141</xdr:colOff>
      <xdr:row>50</xdr:row>
      <xdr:rowOff>22802</xdr:rowOff>
    </xdr:from>
    <xdr:to>
      <xdr:col>30</xdr:col>
      <xdr:colOff>36850</xdr:colOff>
      <xdr:row>50</xdr:row>
      <xdr:rowOff>152977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CxnSpPr/>
      </xdr:nvCxnSpPr>
      <xdr:spPr bwMode="auto">
        <a:xfrm flipH="1" flipV="1">
          <a:off x="7855816" y="10481252"/>
          <a:ext cx="286809" cy="1301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19918</xdr:colOff>
      <xdr:row>49</xdr:row>
      <xdr:rowOff>45030</xdr:rowOff>
    </xdr:from>
    <xdr:to>
      <xdr:col>31</xdr:col>
      <xdr:colOff>143741</xdr:colOff>
      <xdr:row>49</xdr:row>
      <xdr:rowOff>149802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/>
      </xdr:nvCxnSpPr>
      <xdr:spPr bwMode="auto">
        <a:xfrm flipH="1" flipV="1">
          <a:off x="8125693" y="10293930"/>
          <a:ext cx="333373" cy="10477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153266</xdr:colOff>
      <xdr:row>49</xdr:row>
      <xdr:rowOff>158269</xdr:rowOff>
    </xdr:from>
    <xdr:to>
      <xdr:col>31</xdr:col>
      <xdr:colOff>153266</xdr:colOff>
      <xdr:row>50</xdr:row>
      <xdr:rowOff>22803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CxnSpPr/>
      </xdr:nvCxnSpPr>
      <xdr:spPr bwMode="auto">
        <a:xfrm flipV="1">
          <a:off x="7839941" y="10407169"/>
          <a:ext cx="628650" cy="7408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56</xdr:col>
      <xdr:colOff>16452</xdr:colOff>
      <xdr:row>41</xdr:row>
      <xdr:rowOff>173179</xdr:rowOff>
    </xdr:from>
    <xdr:to>
      <xdr:col>56</xdr:col>
      <xdr:colOff>16452</xdr:colOff>
      <xdr:row>48</xdr:row>
      <xdr:rowOff>169369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 bwMode="auto">
        <a:xfrm flipV="1">
          <a:off x="13570527" y="8745679"/>
          <a:ext cx="0" cy="1463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56</xdr:col>
      <xdr:colOff>16452</xdr:colOff>
      <xdr:row>50</xdr:row>
      <xdr:rowOff>51953</xdr:rowOff>
    </xdr:from>
    <xdr:to>
      <xdr:col>56</xdr:col>
      <xdr:colOff>16452</xdr:colOff>
      <xdr:row>59</xdr:row>
      <xdr:rowOff>86243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 bwMode="auto">
        <a:xfrm>
          <a:off x="13570527" y="10510403"/>
          <a:ext cx="0" cy="19202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19050</xdr:colOff>
      <xdr:row>41</xdr:row>
      <xdr:rowOff>161541</xdr:rowOff>
    </xdr:from>
    <xdr:to>
      <xdr:col>56</xdr:col>
      <xdr:colOff>95250</xdr:colOff>
      <xdr:row>41</xdr:row>
      <xdr:rowOff>161541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CxnSpPr/>
      </xdr:nvCxnSpPr>
      <xdr:spPr bwMode="auto">
        <a:xfrm>
          <a:off x="12734925" y="8734041"/>
          <a:ext cx="9144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19049</xdr:colOff>
      <xdr:row>59</xdr:row>
      <xdr:rowOff>90054</xdr:rowOff>
    </xdr:from>
    <xdr:to>
      <xdr:col>56</xdr:col>
      <xdr:colOff>95249</xdr:colOff>
      <xdr:row>59</xdr:row>
      <xdr:rowOff>90054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CxnSpPr/>
      </xdr:nvCxnSpPr>
      <xdr:spPr bwMode="auto">
        <a:xfrm>
          <a:off x="12734924" y="12434454"/>
          <a:ext cx="9144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115166</xdr:colOff>
      <xdr:row>59</xdr:row>
      <xdr:rowOff>14719</xdr:rowOff>
    </xdr:from>
    <xdr:to>
      <xdr:col>10</xdr:col>
      <xdr:colOff>115166</xdr:colOff>
      <xdr:row>62</xdr:row>
      <xdr:rowOff>26149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CxnSpPr/>
      </xdr:nvCxnSpPr>
      <xdr:spPr bwMode="auto">
        <a:xfrm>
          <a:off x="4029941" y="12359119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95251</xdr:colOff>
      <xdr:row>59</xdr:row>
      <xdr:rowOff>17318</xdr:rowOff>
    </xdr:from>
    <xdr:to>
      <xdr:col>52</xdr:col>
      <xdr:colOff>95251</xdr:colOff>
      <xdr:row>62</xdr:row>
      <xdr:rowOff>28748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CxnSpPr/>
      </xdr:nvCxnSpPr>
      <xdr:spPr bwMode="auto">
        <a:xfrm>
          <a:off x="12811126" y="12361718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123824</xdr:colOff>
      <xdr:row>61</xdr:row>
      <xdr:rowOff>118629</xdr:rowOff>
    </xdr:from>
    <xdr:to>
      <xdr:col>25</xdr:col>
      <xdr:colOff>89534</xdr:colOff>
      <xdr:row>61</xdr:row>
      <xdr:rowOff>118629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CxnSpPr/>
      </xdr:nvCxnSpPr>
      <xdr:spPr bwMode="auto">
        <a:xfrm flipH="1">
          <a:off x="4038599" y="12882129"/>
          <a:ext cx="31089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29</xdr:col>
      <xdr:colOff>77065</xdr:colOff>
      <xdr:row>61</xdr:row>
      <xdr:rowOff>118629</xdr:rowOff>
    </xdr:from>
    <xdr:to>
      <xdr:col>52</xdr:col>
      <xdr:colOff>103735</xdr:colOff>
      <xdr:row>61</xdr:row>
      <xdr:rowOff>118629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CxnSpPr/>
      </xdr:nvCxnSpPr>
      <xdr:spPr bwMode="auto">
        <a:xfrm flipH="1">
          <a:off x="7973290" y="12882129"/>
          <a:ext cx="4846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8659</xdr:colOff>
      <xdr:row>39</xdr:row>
      <xdr:rowOff>38100</xdr:rowOff>
    </xdr:from>
    <xdr:to>
      <xdr:col>8</xdr:col>
      <xdr:colOff>8659</xdr:colOff>
      <xdr:row>40</xdr:row>
      <xdr:rowOff>148590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CxnSpPr/>
      </xdr:nvCxnSpPr>
      <xdr:spPr bwMode="auto">
        <a:xfrm>
          <a:off x="3504334" y="8191500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200024</xdr:colOff>
      <xdr:row>39</xdr:row>
      <xdr:rowOff>38100</xdr:rowOff>
    </xdr:from>
    <xdr:to>
      <xdr:col>54</xdr:col>
      <xdr:colOff>200024</xdr:colOff>
      <xdr:row>40</xdr:row>
      <xdr:rowOff>148590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CxnSpPr/>
      </xdr:nvCxnSpPr>
      <xdr:spPr bwMode="auto">
        <a:xfrm>
          <a:off x="13334999" y="8191500"/>
          <a:ext cx="0" cy="3200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18185</xdr:colOff>
      <xdr:row>39</xdr:row>
      <xdr:rowOff>127287</xdr:rowOff>
    </xdr:from>
    <xdr:to>
      <xdr:col>32</xdr:col>
      <xdr:colOff>18185</xdr:colOff>
      <xdr:row>39</xdr:row>
      <xdr:rowOff>127287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/>
      </xdr:nvCxnSpPr>
      <xdr:spPr bwMode="auto">
        <a:xfrm flipH="1">
          <a:off x="3513860" y="8280687"/>
          <a:ext cx="5029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36</xdr:col>
      <xdr:colOff>27707</xdr:colOff>
      <xdr:row>39</xdr:row>
      <xdr:rowOff>127287</xdr:rowOff>
    </xdr:from>
    <xdr:to>
      <xdr:col>54</xdr:col>
      <xdr:colOff>187727</xdr:colOff>
      <xdr:row>39</xdr:row>
      <xdr:rowOff>127287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CxnSpPr/>
      </xdr:nvCxnSpPr>
      <xdr:spPr bwMode="auto">
        <a:xfrm flipH="1">
          <a:off x="9390782" y="8280687"/>
          <a:ext cx="39319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73603</xdr:colOff>
      <xdr:row>41</xdr:row>
      <xdr:rowOff>11257</xdr:rowOff>
    </xdr:from>
    <xdr:to>
      <xdr:col>58</xdr:col>
      <xdr:colOff>130753</xdr:colOff>
      <xdr:row>41</xdr:row>
      <xdr:rowOff>11257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/>
      </xdr:nvCxnSpPr>
      <xdr:spPr bwMode="auto">
        <a:xfrm>
          <a:off x="13418128" y="8583757"/>
          <a:ext cx="6858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63211</xdr:colOff>
      <xdr:row>59</xdr:row>
      <xdr:rowOff>201273</xdr:rowOff>
    </xdr:from>
    <xdr:to>
      <xdr:col>58</xdr:col>
      <xdr:colOff>120361</xdr:colOff>
      <xdr:row>59</xdr:row>
      <xdr:rowOff>201273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/>
      </xdr:nvCxnSpPr>
      <xdr:spPr bwMode="auto">
        <a:xfrm>
          <a:off x="13407736" y="12545673"/>
          <a:ext cx="6858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58</xdr:col>
      <xdr:colOff>6927</xdr:colOff>
      <xdr:row>41</xdr:row>
      <xdr:rowOff>11256</xdr:rowOff>
    </xdr:from>
    <xdr:to>
      <xdr:col>58</xdr:col>
      <xdr:colOff>6927</xdr:colOff>
      <xdr:row>50</xdr:row>
      <xdr:rowOff>136986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CxnSpPr/>
      </xdr:nvCxnSpPr>
      <xdr:spPr bwMode="auto">
        <a:xfrm flipV="1">
          <a:off x="13980102" y="8583756"/>
          <a:ext cx="0" cy="20116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58</xdr:col>
      <xdr:colOff>6927</xdr:colOff>
      <xdr:row>52</xdr:row>
      <xdr:rowOff>103909</xdr:rowOff>
    </xdr:from>
    <xdr:to>
      <xdr:col>58</xdr:col>
      <xdr:colOff>6927</xdr:colOff>
      <xdr:row>59</xdr:row>
      <xdr:rowOff>191539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CxnSpPr/>
      </xdr:nvCxnSpPr>
      <xdr:spPr bwMode="auto">
        <a:xfrm>
          <a:off x="13980102" y="10981459"/>
          <a:ext cx="0" cy="1554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107372</xdr:colOff>
      <xdr:row>44</xdr:row>
      <xdr:rowOff>97848</xdr:rowOff>
    </xdr:from>
    <xdr:to>
      <xdr:col>16</xdr:col>
      <xdr:colOff>107372</xdr:colOff>
      <xdr:row>45</xdr:row>
      <xdr:rowOff>25458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CxnSpPr/>
      </xdr:nvCxnSpPr>
      <xdr:spPr bwMode="auto">
        <a:xfrm>
          <a:off x="5279447" y="9298998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48490</xdr:colOff>
      <xdr:row>44</xdr:row>
      <xdr:rowOff>97848</xdr:rowOff>
    </xdr:from>
    <xdr:to>
      <xdr:col>21</xdr:col>
      <xdr:colOff>48490</xdr:colOff>
      <xdr:row>45</xdr:row>
      <xdr:rowOff>25458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CxnSpPr/>
      </xdr:nvCxnSpPr>
      <xdr:spPr bwMode="auto">
        <a:xfrm>
          <a:off x="6268315" y="9298998"/>
          <a:ext cx="0" cy="13716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116897</xdr:colOff>
      <xdr:row>44</xdr:row>
      <xdr:rowOff>170584</xdr:rowOff>
    </xdr:from>
    <xdr:to>
      <xdr:col>21</xdr:col>
      <xdr:colOff>37926</xdr:colOff>
      <xdr:row>44</xdr:row>
      <xdr:rowOff>170584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CxnSpPr/>
      </xdr:nvCxnSpPr>
      <xdr:spPr bwMode="auto">
        <a:xfrm flipH="1">
          <a:off x="5288972" y="9371734"/>
          <a:ext cx="96877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10</xdr:col>
      <xdr:colOff>67541</xdr:colOff>
      <xdr:row>41</xdr:row>
      <xdr:rowOff>123132</xdr:rowOff>
    </xdr:from>
    <xdr:to>
      <xdr:col>53</xdr:col>
      <xdr:colOff>866</xdr:colOff>
      <xdr:row>44</xdr:row>
      <xdr:rowOff>61410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3982316" y="8695632"/>
          <a:ext cx="8943975" cy="566928"/>
        </a:xfrm>
        <a:prstGeom prst="rect">
          <a:avLst/>
        </a:prstGeom>
      </xdr:spPr>
    </xdr:pic>
    <xdr:clientData/>
  </xdr:twoCellAnchor>
  <xdr:twoCellAnchor editAs="oneCell">
    <xdr:from>
      <xdr:col>10</xdr:col>
      <xdr:colOff>67541</xdr:colOff>
      <xdr:row>56</xdr:row>
      <xdr:rowOff>178377</xdr:rowOff>
    </xdr:from>
    <xdr:to>
      <xdr:col>53</xdr:col>
      <xdr:colOff>866</xdr:colOff>
      <xdr:row>59</xdr:row>
      <xdr:rowOff>116655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2" b="78754"/>
        <a:stretch/>
      </xdr:blipFill>
      <xdr:spPr>
        <a:xfrm>
          <a:off x="3982316" y="11894127"/>
          <a:ext cx="8943975" cy="566928"/>
        </a:xfrm>
        <a:prstGeom prst="rect">
          <a:avLst/>
        </a:prstGeom>
      </xdr:spPr>
    </xdr:pic>
    <xdr:clientData/>
  </xdr:twoCellAnchor>
  <xdr:twoCellAnchor>
    <xdr:from>
      <xdr:col>14</xdr:col>
      <xdr:colOff>162790</xdr:colOff>
      <xdr:row>60</xdr:row>
      <xdr:rowOff>11257</xdr:rowOff>
    </xdr:from>
    <xdr:to>
      <xdr:col>14</xdr:col>
      <xdr:colOff>162790</xdr:colOff>
      <xdr:row>60</xdr:row>
      <xdr:rowOff>195869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CxnSpPr/>
      </xdr:nvCxnSpPr>
      <xdr:spPr bwMode="auto">
        <a:xfrm flipH="1">
          <a:off x="4915765" y="12565207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153266</xdr:colOff>
      <xdr:row>58</xdr:row>
      <xdr:rowOff>102177</xdr:rowOff>
    </xdr:from>
    <xdr:to>
      <xdr:col>14</xdr:col>
      <xdr:colOff>153266</xdr:colOff>
      <xdr:row>59</xdr:row>
      <xdr:rowOff>77239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CxnSpPr/>
      </xdr:nvCxnSpPr>
      <xdr:spPr bwMode="auto">
        <a:xfrm flipH="1">
          <a:off x="4906241" y="12237027"/>
          <a:ext cx="0" cy="18461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124691</xdr:colOff>
      <xdr:row>43</xdr:row>
      <xdr:rowOff>168852</xdr:rowOff>
    </xdr:from>
    <xdr:to>
      <xdr:col>10</xdr:col>
      <xdr:colOff>124691</xdr:colOff>
      <xdr:row>45</xdr:row>
      <xdr:rowOff>24072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CxnSpPr/>
      </xdr:nvCxnSpPr>
      <xdr:spPr bwMode="auto">
        <a:xfrm>
          <a:off x="4039466" y="9160452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172316</xdr:colOff>
      <xdr:row>44</xdr:row>
      <xdr:rowOff>54552</xdr:rowOff>
    </xdr:from>
    <xdr:to>
      <xdr:col>11</xdr:col>
      <xdr:colOff>172316</xdr:colOff>
      <xdr:row>45</xdr:row>
      <xdr:rowOff>27882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CxnSpPr/>
      </xdr:nvCxnSpPr>
      <xdr:spPr bwMode="auto">
        <a:xfrm>
          <a:off x="4296641" y="9255702"/>
          <a:ext cx="0" cy="1828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124691</xdr:colOff>
      <xdr:row>44</xdr:row>
      <xdr:rowOff>178377</xdr:rowOff>
    </xdr:from>
    <xdr:to>
      <xdr:col>11</xdr:col>
      <xdr:colOff>171173</xdr:colOff>
      <xdr:row>44</xdr:row>
      <xdr:rowOff>178377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CxnSpPr/>
      </xdr:nvCxnSpPr>
      <xdr:spPr bwMode="auto">
        <a:xfrm flipH="1">
          <a:off x="4039466" y="9379527"/>
          <a:ext cx="25603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32</xdr:col>
      <xdr:colOff>94043</xdr:colOff>
      <xdr:row>1</xdr:row>
      <xdr:rowOff>209549</xdr:rowOff>
    </xdr:from>
    <xdr:to>
      <xdr:col>39</xdr:col>
      <xdr:colOff>85725</xdr:colOff>
      <xdr:row>3</xdr:row>
      <xdr:rowOff>161925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8918" y="447674"/>
          <a:ext cx="1458532" cy="371476"/>
        </a:xfrm>
        <a:prstGeom prst="rect">
          <a:avLst/>
        </a:prstGeom>
      </xdr:spPr>
    </xdr:pic>
    <xdr:clientData/>
  </xdr:twoCellAnchor>
  <xdr:twoCellAnchor>
    <xdr:from>
      <xdr:col>13</xdr:col>
      <xdr:colOff>152400</xdr:colOff>
      <xdr:row>23</xdr:row>
      <xdr:rowOff>180975</xdr:rowOff>
    </xdr:from>
    <xdr:to>
      <xdr:col>16</xdr:col>
      <xdr:colOff>95250</xdr:colOff>
      <xdr:row>26</xdr:row>
      <xdr:rowOff>0</xdr:rowOff>
    </xdr:to>
    <xdr:cxnSp macro="">
      <xdr:nvCxnSpPr>
        <xdr:cNvPr id="66" name="Curved Connector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CxnSpPr/>
      </xdr:nvCxnSpPr>
      <xdr:spPr bwMode="auto">
        <a:xfrm>
          <a:off x="4695825" y="5029200"/>
          <a:ext cx="571500" cy="400050"/>
        </a:xfrm>
        <a:prstGeom prst="curvedConnector3">
          <a:avLst>
            <a:gd name="adj1" fmla="val 3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8000</xdr:colOff>
      <xdr:row>47</xdr:row>
      <xdr:rowOff>166690</xdr:rowOff>
    </xdr:from>
    <xdr:to>
      <xdr:col>11</xdr:col>
      <xdr:colOff>9524</xdr:colOff>
      <xdr:row>50</xdr:row>
      <xdr:rowOff>132400</xdr:rowOff>
    </xdr:to>
    <xdr:sp macro="" textlink="">
      <xdr:nvSpPr>
        <xdr:cNvPr id="67" name="L-Shape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/>
      </xdr:nvSpPr>
      <xdr:spPr>
        <a:xfrm rot="5400000">
          <a:off x="3626357" y="10083358"/>
          <a:ext cx="594360" cy="420624"/>
        </a:xfrm>
        <a:prstGeom prst="corner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9524</xdr:colOff>
      <xdr:row>55</xdr:row>
      <xdr:rowOff>190499</xdr:rowOff>
    </xdr:from>
    <xdr:to>
      <xdr:col>11</xdr:col>
      <xdr:colOff>11048</xdr:colOff>
      <xdr:row>58</xdr:row>
      <xdr:rowOff>156209</xdr:rowOff>
    </xdr:to>
    <xdr:sp macro="" textlink="">
      <xdr:nvSpPr>
        <xdr:cNvPr id="68" name="L-Shape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/>
      </xdr:nvSpPr>
      <xdr:spPr>
        <a:xfrm>
          <a:off x="3714749" y="11696699"/>
          <a:ext cx="420624" cy="594360"/>
        </a:xfrm>
        <a:prstGeom prst="corner">
          <a:avLst>
            <a:gd name="adj1" fmla="val 50000"/>
            <a:gd name="adj2" fmla="val 5215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15</xdr:row>
          <xdr:rowOff>200025</xdr:rowOff>
        </xdr:from>
        <xdr:to>
          <xdr:col>3</xdr:col>
          <xdr:colOff>200025</xdr:colOff>
          <xdr:row>17</xdr:row>
          <xdr:rowOff>9525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5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17</xdr:row>
          <xdr:rowOff>200025</xdr:rowOff>
        </xdr:from>
        <xdr:to>
          <xdr:col>3</xdr:col>
          <xdr:colOff>200025</xdr:colOff>
          <xdr:row>19</xdr:row>
          <xdr:rowOff>9525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5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102178</xdr:colOff>
      <xdr:row>47</xdr:row>
      <xdr:rowOff>183088</xdr:rowOff>
    </xdr:from>
    <xdr:to>
      <xdr:col>8</xdr:col>
      <xdr:colOff>102178</xdr:colOff>
      <xdr:row>50</xdr:row>
      <xdr:rowOff>194518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CxnSpPr/>
      </xdr:nvCxnSpPr>
      <xdr:spPr bwMode="auto">
        <a:xfrm flipV="1">
          <a:off x="3597853" y="10012888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102178</xdr:colOff>
      <xdr:row>52</xdr:row>
      <xdr:rowOff>52337</xdr:rowOff>
    </xdr:from>
    <xdr:to>
      <xdr:col>8</xdr:col>
      <xdr:colOff>102178</xdr:colOff>
      <xdr:row>58</xdr:row>
      <xdr:rowOff>120917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CxnSpPr/>
      </xdr:nvCxnSpPr>
      <xdr:spPr bwMode="auto">
        <a:xfrm>
          <a:off x="3597853" y="10929887"/>
          <a:ext cx="0" cy="13258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19051</xdr:colOff>
      <xdr:row>47</xdr:row>
      <xdr:rowOff>180975</xdr:rowOff>
    </xdr:from>
    <xdr:to>
      <xdr:col>8</xdr:col>
      <xdr:colOff>201931</xdr:colOff>
      <xdr:row>47</xdr:row>
      <xdr:rowOff>180975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CxnSpPr/>
      </xdr:nvCxnSpPr>
      <xdr:spPr bwMode="auto">
        <a:xfrm>
          <a:off x="3514726" y="10010775"/>
          <a:ext cx="182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19050</xdr:colOff>
      <xdr:row>58</xdr:row>
      <xdr:rowOff>138063</xdr:rowOff>
    </xdr:from>
    <xdr:to>
      <xdr:col>8</xdr:col>
      <xdr:colOff>201930</xdr:colOff>
      <xdr:row>58</xdr:row>
      <xdr:rowOff>138063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CxnSpPr/>
      </xdr:nvCxnSpPr>
      <xdr:spPr bwMode="auto">
        <a:xfrm>
          <a:off x="3514725" y="12272913"/>
          <a:ext cx="182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21</xdr:row>
          <xdr:rowOff>200025</xdr:rowOff>
        </xdr:from>
        <xdr:to>
          <xdr:col>3</xdr:col>
          <xdr:colOff>200025</xdr:colOff>
          <xdr:row>23</xdr:row>
          <xdr:rowOff>9525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5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114300</xdr:colOff>
      <xdr:row>53</xdr:row>
      <xdr:rowOff>152400</xdr:rowOff>
    </xdr:from>
    <xdr:to>
      <xdr:col>9</xdr:col>
      <xdr:colOff>114300</xdr:colOff>
      <xdr:row>55</xdr:row>
      <xdr:rowOff>190500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CxnSpPr/>
      </xdr:nvCxnSpPr>
      <xdr:spPr bwMode="auto">
        <a:xfrm>
          <a:off x="3819525" y="11239500"/>
          <a:ext cx="0" cy="4572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114300</xdr:colOff>
      <xdr:row>50</xdr:row>
      <xdr:rowOff>134429</xdr:rowOff>
    </xdr:from>
    <xdr:to>
      <xdr:col>9</xdr:col>
      <xdr:colOff>114300</xdr:colOff>
      <xdr:row>53</xdr:row>
      <xdr:rowOff>8699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CxnSpPr/>
      </xdr:nvCxnSpPr>
      <xdr:spPr bwMode="auto">
        <a:xfrm flipV="1">
          <a:off x="3819525" y="10592879"/>
          <a:ext cx="0" cy="5029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3594</xdr:colOff>
      <xdr:row>53</xdr:row>
      <xdr:rowOff>86984</xdr:rowOff>
    </xdr:from>
    <xdr:to>
      <xdr:col>9</xdr:col>
      <xdr:colOff>115019</xdr:colOff>
      <xdr:row>53</xdr:row>
      <xdr:rowOff>155995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CxnSpPr/>
      </xdr:nvCxnSpPr>
      <xdr:spPr bwMode="auto">
        <a:xfrm flipH="1" flipV="1">
          <a:off x="3708819" y="11174084"/>
          <a:ext cx="111425" cy="690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115019</xdr:colOff>
      <xdr:row>53</xdr:row>
      <xdr:rowOff>359</xdr:rowOff>
    </xdr:from>
    <xdr:to>
      <xdr:col>10</xdr:col>
      <xdr:colOff>25161</xdr:colOff>
      <xdr:row>53</xdr:row>
      <xdr:rowOff>68653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CxnSpPr/>
      </xdr:nvCxnSpPr>
      <xdr:spPr bwMode="auto">
        <a:xfrm flipH="1" flipV="1">
          <a:off x="3820244" y="11087459"/>
          <a:ext cx="119692" cy="6829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204876</xdr:colOff>
      <xdr:row>53</xdr:row>
      <xdr:rowOff>68652</xdr:rowOff>
    </xdr:from>
    <xdr:to>
      <xdr:col>10</xdr:col>
      <xdr:colOff>32349</xdr:colOff>
      <xdr:row>53</xdr:row>
      <xdr:rowOff>85728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CxnSpPr/>
      </xdr:nvCxnSpPr>
      <xdr:spPr bwMode="auto">
        <a:xfrm flipV="1">
          <a:off x="3700551" y="11155752"/>
          <a:ext cx="246573" cy="1707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19050</xdr:colOff>
      <xdr:row>59</xdr:row>
      <xdr:rowOff>19050</xdr:rowOff>
    </xdr:from>
    <xdr:to>
      <xdr:col>9</xdr:col>
      <xdr:colOff>19050</xdr:colOff>
      <xdr:row>62</xdr:row>
      <xdr:rowOff>30480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CxnSpPr/>
      </xdr:nvCxnSpPr>
      <xdr:spPr bwMode="auto">
        <a:xfrm>
          <a:off x="3724275" y="12363450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60</xdr:row>
      <xdr:rowOff>38100</xdr:rowOff>
    </xdr:from>
    <xdr:to>
      <xdr:col>8</xdr:col>
      <xdr:colOff>0</xdr:colOff>
      <xdr:row>62</xdr:row>
      <xdr:rowOff>30480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CxnSpPr/>
      </xdr:nvCxnSpPr>
      <xdr:spPr bwMode="auto">
        <a:xfrm>
          <a:off x="3495675" y="12592050"/>
          <a:ext cx="0" cy="411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</xdr:colOff>
      <xdr:row>61</xdr:row>
      <xdr:rowOff>114300</xdr:rowOff>
    </xdr:from>
    <xdr:to>
      <xdr:col>10</xdr:col>
      <xdr:colOff>120015</xdr:colOff>
      <xdr:row>61</xdr:row>
      <xdr:rowOff>114300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CxnSpPr/>
      </xdr:nvCxnSpPr>
      <xdr:spPr bwMode="auto">
        <a:xfrm flipH="1">
          <a:off x="3714750" y="12877800"/>
          <a:ext cx="32004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61</xdr:row>
      <xdr:rowOff>114300</xdr:rowOff>
    </xdr:from>
    <xdr:to>
      <xdr:col>9</xdr:col>
      <xdr:colOff>9906</xdr:colOff>
      <xdr:row>61</xdr:row>
      <xdr:rowOff>114300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CxnSpPr/>
      </xdr:nvCxnSpPr>
      <xdr:spPr bwMode="auto">
        <a:xfrm flipH="1">
          <a:off x="3495675" y="12877800"/>
          <a:ext cx="21945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193649</xdr:colOff>
      <xdr:row>55</xdr:row>
      <xdr:rowOff>173355</xdr:rowOff>
    </xdr:from>
    <xdr:to>
      <xdr:col>53</xdr:col>
      <xdr:colOff>195173</xdr:colOff>
      <xdr:row>58</xdr:row>
      <xdr:rowOff>139065</xdr:rowOff>
    </xdr:to>
    <xdr:sp macro="" textlink="">
      <xdr:nvSpPr>
        <xdr:cNvPr id="85" name="L-Shape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/>
      </xdr:nvSpPr>
      <xdr:spPr>
        <a:xfrm rot="16200000">
          <a:off x="12613106" y="11766423"/>
          <a:ext cx="594360" cy="420624"/>
        </a:xfrm>
        <a:prstGeom prst="corner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51</xdr:col>
      <xdr:colOff>195173</xdr:colOff>
      <xdr:row>45</xdr:row>
      <xdr:rowOff>73339</xdr:rowOff>
    </xdr:from>
    <xdr:to>
      <xdr:col>53</xdr:col>
      <xdr:colOff>196697</xdr:colOff>
      <xdr:row>48</xdr:row>
      <xdr:rowOff>39049</xdr:rowOff>
    </xdr:to>
    <xdr:sp macro="" textlink="">
      <xdr:nvSpPr>
        <xdr:cNvPr id="86" name="L-Shape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/>
      </xdr:nvSpPr>
      <xdr:spPr>
        <a:xfrm rot="10800000">
          <a:off x="12701498" y="9484039"/>
          <a:ext cx="420624" cy="594360"/>
        </a:xfrm>
        <a:prstGeom prst="corner">
          <a:avLst>
            <a:gd name="adj1" fmla="val 50000"/>
            <a:gd name="adj2" fmla="val 5215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53</xdr:col>
      <xdr:colOff>90399</xdr:colOff>
      <xdr:row>53</xdr:row>
      <xdr:rowOff>132271</xdr:rowOff>
    </xdr:from>
    <xdr:to>
      <xdr:col>53</xdr:col>
      <xdr:colOff>90399</xdr:colOff>
      <xdr:row>55</xdr:row>
      <xdr:rowOff>170371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CxnSpPr/>
      </xdr:nvCxnSpPr>
      <xdr:spPr bwMode="auto">
        <a:xfrm>
          <a:off x="13015824" y="11219371"/>
          <a:ext cx="0" cy="4572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90399</xdr:colOff>
      <xdr:row>48</xdr:row>
      <xdr:rowOff>38100</xdr:rowOff>
    </xdr:from>
    <xdr:to>
      <xdr:col>53</xdr:col>
      <xdr:colOff>90399</xdr:colOff>
      <xdr:row>52</xdr:row>
      <xdr:rowOff>196596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CxnSpPr/>
      </xdr:nvCxnSpPr>
      <xdr:spPr bwMode="auto">
        <a:xfrm flipV="1">
          <a:off x="13015824" y="10077450"/>
          <a:ext cx="0" cy="99669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189243</xdr:colOff>
      <xdr:row>53</xdr:row>
      <xdr:rowOff>66855</xdr:rowOff>
    </xdr:from>
    <xdr:to>
      <xdr:col>53</xdr:col>
      <xdr:colOff>91118</xdr:colOff>
      <xdr:row>53</xdr:row>
      <xdr:rowOff>135866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CxnSpPr/>
      </xdr:nvCxnSpPr>
      <xdr:spPr bwMode="auto">
        <a:xfrm flipH="1" flipV="1">
          <a:off x="12905118" y="11153955"/>
          <a:ext cx="111425" cy="690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91118</xdr:colOff>
      <xdr:row>52</xdr:row>
      <xdr:rowOff>189780</xdr:rowOff>
    </xdr:from>
    <xdr:to>
      <xdr:col>54</xdr:col>
      <xdr:colOff>1260</xdr:colOff>
      <xdr:row>53</xdr:row>
      <xdr:rowOff>48524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CxnSpPr/>
      </xdr:nvCxnSpPr>
      <xdr:spPr bwMode="auto">
        <a:xfrm flipH="1" flipV="1">
          <a:off x="13016543" y="11067330"/>
          <a:ext cx="119692" cy="6829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180975</xdr:colOff>
      <xdr:row>53</xdr:row>
      <xdr:rowOff>48523</xdr:rowOff>
    </xdr:from>
    <xdr:to>
      <xdr:col>54</xdr:col>
      <xdr:colOff>8448</xdr:colOff>
      <xdr:row>53</xdr:row>
      <xdr:rowOff>65599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CxnSpPr/>
      </xdr:nvCxnSpPr>
      <xdr:spPr bwMode="auto">
        <a:xfrm flipV="1">
          <a:off x="12896850" y="11135623"/>
          <a:ext cx="246573" cy="1707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92653</xdr:colOff>
      <xdr:row>45</xdr:row>
      <xdr:rowOff>97363</xdr:rowOff>
    </xdr:from>
    <xdr:to>
      <xdr:col>54</xdr:col>
      <xdr:colOff>92653</xdr:colOff>
      <xdr:row>50</xdr:row>
      <xdr:rowOff>192613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CxnSpPr/>
      </xdr:nvCxnSpPr>
      <xdr:spPr bwMode="auto">
        <a:xfrm flipV="1">
          <a:off x="13227628" y="9508063"/>
          <a:ext cx="0" cy="11430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92653</xdr:colOff>
      <xdr:row>52</xdr:row>
      <xdr:rowOff>14237</xdr:rowOff>
    </xdr:from>
    <xdr:to>
      <xdr:col>54</xdr:col>
      <xdr:colOff>92653</xdr:colOff>
      <xdr:row>58</xdr:row>
      <xdr:rowOff>128537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CxnSpPr/>
      </xdr:nvCxnSpPr>
      <xdr:spPr bwMode="auto">
        <a:xfrm>
          <a:off x="13227628" y="10891787"/>
          <a:ext cx="0" cy="13716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1</xdr:colOff>
      <xdr:row>45</xdr:row>
      <xdr:rowOff>85725</xdr:rowOff>
    </xdr:from>
    <xdr:to>
      <xdr:col>54</xdr:col>
      <xdr:colOff>182881</xdr:colOff>
      <xdr:row>45</xdr:row>
      <xdr:rowOff>85725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CxnSpPr/>
      </xdr:nvCxnSpPr>
      <xdr:spPr bwMode="auto">
        <a:xfrm>
          <a:off x="13134976" y="9496425"/>
          <a:ext cx="182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0</xdr:colOff>
      <xdr:row>58</xdr:row>
      <xdr:rowOff>138063</xdr:rowOff>
    </xdr:from>
    <xdr:to>
      <xdr:col>54</xdr:col>
      <xdr:colOff>182880</xdr:colOff>
      <xdr:row>58</xdr:row>
      <xdr:rowOff>138063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CxnSpPr/>
      </xdr:nvCxnSpPr>
      <xdr:spPr bwMode="auto">
        <a:xfrm>
          <a:off x="13134975" y="12272913"/>
          <a:ext cx="182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190500</xdr:colOff>
      <xdr:row>59</xdr:row>
      <xdr:rowOff>23381</xdr:rowOff>
    </xdr:from>
    <xdr:to>
      <xdr:col>53</xdr:col>
      <xdr:colOff>190500</xdr:colOff>
      <xdr:row>62</xdr:row>
      <xdr:rowOff>34811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CxnSpPr/>
      </xdr:nvCxnSpPr>
      <xdr:spPr bwMode="auto">
        <a:xfrm>
          <a:off x="13115925" y="12367781"/>
          <a:ext cx="0" cy="6400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9525</xdr:colOff>
      <xdr:row>60</xdr:row>
      <xdr:rowOff>42431</xdr:rowOff>
    </xdr:from>
    <xdr:to>
      <xdr:col>55</xdr:col>
      <xdr:colOff>9525</xdr:colOff>
      <xdr:row>62</xdr:row>
      <xdr:rowOff>34811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CxnSpPr/>
      </xdr:nvCxnSpPr>
      <xdr:spPr bwMode="auto">
        <a:xfrm>
          <a:off x="13354050" y="12596381"/>
          <a:ext cx="0" cy="4114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95250</xdr:colOff>
      <xdr:row>61</xdr:row>
      <xdr:rowOff>118631</xdr:rowOff>
    </xdr:from>
    <xdr:to>
      <xdr:col>53</xdr:col>
      <xdr:colOff>187452</xdr:colOff>
      <xdr:row>61</xdr:row>
      <xdr:rowOff>118631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CxnSpPr/>
      </xdr:nvCxnSpPr>
      <xdr:spPr bwMode="auto">
        <a:xfrm flipH="1">
          <a:off x="12811125" y="12882131"/>
          <a:ext cx="30175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200025</xdr:colOff>
      <xdr:row>61</xdr:row>
      <xdr:rowOff>118631</xdr:rowOff>
    </xdr:from>
    <xdr:to>
      <xdr:col>55</xdr:col>
      <xdr:colOff>381</xdr:colOff>
      <xdr:row>61</xdr:row>
      <xdr:rowOff>118631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CxnSpPr/>
      </xdr:nvCxnSpPr>
      <xdr:spPr bwMode="auto">
        <a:xfrm flipH="1">
          <a:off x="13125450" y="12882131"/>
          <a:ext cx="21945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0</xdr:colOff>
      <xdr:row>61</xdr:row>
      <xdr:rowOff>114300</xdr:rowOff>
    </xdr:from>
    <xdr:to>
      <xdr:col>55</xdr:col>
      <xdr:colOff>9906</xdr:colOff>
      <xdr:row>61</xdr:row>
      <xdr:rowOff>114300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CxnSpPr/>
      </xdr:nvCxnSpPr>
      <xdr:spPr bwMode="auto">
        <a:xfrm flipH="1">
          <a:off x="3495675" y="12877800"/>
          <a:ext cx="21945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 cap="flat" cmpd="sng" algn="ctr">
          <a:solidFill>
            <a:schemeClr val="tx1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11</xdr:row>
          <xdr:rowOff>200025</xdr:rowOff>
        </xdr:from>
        <xdr:to>
          <xdr:col>3</xdr:col>
          <xdr:colOff>200025</xdr:colOff>
          <xdr:row>13</xdr:row>
          <xdr:rowOff>9525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5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25</xdr:row>
          <xdr:rowOff>180975</xdr:rowOff>
        </xdr:from>
        <xdr:to>
          <xdr:col>3</xdr:col>
          <xdr:colOff>200025</xdr:colOff>
          <xdr:row>26</xdr:row>
          <xdr:rowOff>200025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5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29</xdr:row>
          <xdr:rowOff>190500</xdr:rowOff>
        </xdr:from>
        <xdr:to>
          <xdr:col>3</xdr:col>
          <xdr:colOff>200025</xdr:colOff>
          <xdr:row>31</xdr:row>
          <xdr:rowOff>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5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31</xdr:row>
          <xdr:rowOff>200025</xdr:rowOff>
        </xdr:from>
        <xdr:to>
          <xdr:col>3</xdr:col>
          <xdr:colOff>200025</xdr:colOff>
          <xdr:row>33</xdr:row>
          <xdr:rowOff>9525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5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35</xdr:row>
          <xdr:rowOff>200025</xdr:rowOff>
        </xdr:from>
        <xdr:to>
          <xdr:col>3</xdr:col>
          <xdr:colOff>200025</xdr:colOff>
          <xdr:row>37</xdr:row>
          <xdr:rowOff>9525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5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27</xdr:row>
          <xdr:rowOff>190500</xdr:rowOff>
        </xdr:from>
        <xdr:to>
          <xdr:col>3</xdr:col>
          <xdr:colOff>200025</xdr:colOff>
          <xdr:row>29</xdr:row>
          <xdr:rowOff>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5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13</xdr:row>
          <xdr:rowOff>200025</xdr:rowOff>
        </xdr:from>
        <xdr:to>
          <xdr:col>3</xdr:col>
          <xdr:colOff>200025</xdr:colOff>
          <xdr:row>15</xdr:row>
          <xdr:rowOff>9525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5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31</xdr:row>
          <xdr:rowOff>190500</xdr:rowOff>
        </xdr:from>
        <xdr:to>
          <xdr:col>3</xdr:col>
          <xdr:colOff>200025</xdr:colOff>
          <xdr:row>33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5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19</xdr:row>
          <xdr:rowOff>200025</xdr:rowOff>
        </xdr:from>
        <xdr:to>
          <xdr:col>3</xdr:col>
          <xdr:colOff>200025</xdr:colOff>
          <xdr:row>21</xdr:row>
          <xdr:rowOff>9525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5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33</xdr:row>
          <xdr:rowOff>200025</xdr:rowOff>
        </xdr:from>
        <xdr:to>
          <xdr:col>3</xdr:col>
          <xdr:colOff>200025</xdr:colOff>
          <xdr:row>35</xdr:row>
          <xdr:rowOff>9525</xdr:rowOff>
        </xdr:to>
        <xdr:sp macro="" textlink="">
          <xdr:nvSpPr>
            <xdr:cNvPr id="10257" name="Drop Down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5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33</xdr:row>
          <xdr:rowOff>190500</xdr:rowOff>
        </xdr:from>
        <xdr:to>
          <xdr:col>3</xdr:col>
          <xdr:colOff>200025</xdr:colOff>
          <xdr:row>35</xdr:row>
          <xdr:rowOff>0</xdr:rowOff>
        </xdr:to>
        <xdr:sp macro="" textlink="">
          <xdr:nvSpPr>
            <xdr:cNvPr id="10258" name="Drop Down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5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8</xdr:row>
          <xdr:rowOff>0</xdr:rowOff>
        </xdr:from>
        <xdr:to>
          <xdr:col>3</xdr:col>
          <xdr:colOff>838200</xdr:colOff>
          <xdr:row>8</xdr:row>
          <xdr:rowOff>180975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6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438151</xdr:colOff>
      <xdr:row>2</xdr:row>
      <xdr:rowOff>13534</xdr:rowOff>
    </xdr:from>
    <xdr:to>
      <xdr:col>9</xdr:col>
      <xdr:colOff>419101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6" y="365959"/>
          <a:ext cx="2190750" cy="5579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7</xdr:row>
          <xdr:rowOff>152400</xdr:rowOff>
        </xdr:from>
        <xdr:to>
          <xdr:col>16</xdr:col>
          <xdr:colOff>104775</xdr:colOff>
          <xdr:row>9</xdr:row>
          <xdr:rowOff>0</xdr:rowOff>
        </xdr:to>
        <xdr:sp macro="" textlink="">
          <xdr:nvSpPr>
            <xdr:cNvPr id="25601" name="Drop Down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8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163330</xdr:colOff>
      <xdr:row>2</xdr:row>
      <xdr:rowOff>66675</xdr:rowOff>
    </xdr:from>
    <xdr:to>
      <xdr:col>34</xdr:col>
      <xdr:colOff>66274</xdr:colOff>
      <xdr:row>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30" y="419100"/>
          <a:ext cx="3141444" cy="800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16</xdr:row>
          <xdr:rowOff>9525</xdr:rowOff>
        </xdr:from>
        <xdr:to>
          <xdr:col>18</xdr:col>
          <xdr:colOff>28575</xdr:colOff>
          <xdr:row>17</xdr:row>
          <xdr:rowOff>19050</xdr:rowOff>
        </xdr:to>
        <xdr:sp macro="" textlink="">
          <xdr:nvSpPr>
            <xdr:cNvPr id="25602" name="Drop Dow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8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15</xdr:row>
          <xdr:rowOff>180975</xdr:rowOff>
        </xdr:from>
        <xdr:to>
          <xdr:col>13</xdr:col>
          <xdr:colOff>76200</xdr:colOff>
          <xdr:row>17</xdr:row>
          <xdr:rowOff>0</xdr:rowOff>
        </xdr:to>
        <xdr:sp macro="" textlink="">
          <xdr:nvSpPr>
            <xdr:cNvPr id="25603" name="Drop Down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8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14</xdr:row>
          <xdr:rowOff>0</xdr:rowOff>
        </xdr:from>
        <xdr:to>
          <xdr:col>9</xdr:col>
          <xdr:colOff>123825</xdr:colOff>
          <xdr:row>15</xdr:row>
          <xdr:rowOff>9525</xdr:rowOff>
        </xdr:to>
        <xdr:sp macro="" textlink="">
          <xdr:nvSpPr>
            <xdr:cNvPr id="25604" name="Drop Down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8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</xdr:row>
          <xdr:rowOff>180975</xdr:rowOff>
        </xdr:from>
        <xdr:to>
          <xdr:col>13</xdr:col>
          <xdr:colOff>76200</xdr:colOff>
          <xdr:row>19</xdr:row>
          <xdr:rowOff>0</xdr:rowOff>
        </xdr:to>
        <xdr:sp macro="" textlink="">
          <xdr:nvSpPr>
            <xdr:cNvPr id="25605" name="Drop Down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8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18</xdr:row>
          <xdr:rowOff>9525</xdr:rowOff>
        </xdr:from>
        <xdr:to>
          <xdr:col>18</xdr:col>
          <xdr:colOff>28575</xdr:colOff>
          <xdr:row>19</xdr:row>
          <xdr:rowOff>19050</xdr:rowOff>
        </xdr:to>
        <xdr:sp macro="" textlink="">
          <xdr:nvSpPr>
            <xdr:cNvPr id="25606" name="Drop Down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8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19</xdr:row>
          <xdr:rowOff>180975</xdr:rowOff>
        </xdr:from>
        <xdr:to>
          <xdr:col>13</xdr:col>
          <xdr:colOff>76200</xdr:colOff>
          <xdr:row>21</xdr:row>
          <xdr:rowOff>0</xdr:rowOff>
        </xdr:to>
        <xdr:sp macro="" textlink="">
          <xdr:nvSpPr>
            <xdr:cNvPr id="25607" name="Drop Down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8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20</xdr:row>
          <xdr:rowOff>9525</xdr:rowOff>
        </xdr:from>
        <xdr:to>
          <xdr:col>18</xdr:col>
          <xdr:colOff>28575</xdr:colOff>
          <xdr:row>21</xdr:row>
          <xdr:rowOff>19050</xdr:rowOff>
        </xdr:to>
        <xdr:sp macro="" textlink="">
          <xdr:nvSpPr>
            <xdr:cNvPr id="25608" name="Drop Down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8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180975</xdr:rowOff>
        </xdr:from>
        <xdr:to>
          <xdr:col>13</xdr:col>
          <xdr:colOff>76200</xdr:colOff>
          <xdr:row>23</xdr:row>
          <xdr:rowOff>0</xdr:rowOff>
        </xdr:to>
        <xdr:sp macro="" textlink="">
          <xdr:nvSpPr>
            <xdr:cNvPr id="25609" name="Drop Down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8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22</xdr:row>
          <xdr:rowOff>9525</xdr:rowOff>
        </xdr:from>
        <xdr:to>
          <xdr:col>18</xdr:col>
          <xdr:colOff>28575</xdr:colOff>
          <xdr:row>23</xdr:row>
          <xdr:rowOff>19050</xdr:rowOff>
        </xdr:to>
        <xdr:sp macro="" textlink="">
          <xdr:nvSpPr>
            <xdr:cNvPr id="25610" name="Drop Down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8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2</xdr:col>
          <xdr:colOff>0</xdr:colOff>
          <xdr:row>0</xdr:row>
          <xdr:rowOff>219075</xdr:rowOff>
        </xdr:to>
        <xdr:sp macro="" textlink="">
          <xdr:nvSpPr>
            <xdr:cNvPr id="22531" name="Drop Dow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A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0</xdr:colOff>
          <xdr:row>18</xdr:row>
          <xdr:rowOff>219075</xdr:rowOff>
        </xdr:to>
        <xdr:sp macro="" textlink="">
          <xdr:nvSpPr>
            <xdr:cNvPr id="22532" name="Drop Down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A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0</xdr:colOff>
          <xdr:row>1</xdr:row>
          <xdr:rowOff>219075</xdr:rowOff>
        </xdr:to>
        <xdr:sp macro="" textlink="">
          <xdr:nvSpPr>
            <xdr:cNvPr id="22533" name="Drop Down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A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0</xdr:colOff>
          <xdr:row>2</xdr:row>
          <xdr:rowOff>219075</xdr:rowOff>
        </xdr:to>
        <xdr:sp macro="" textlink="">
          <xdr:nvSpPr>
            <xdr:cNvPr id="22535" name="Drop Down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A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200024</xdr:colOff>
      <xdr:row>0</xdr:row>
      <xdr:rowOff>104775</xdr:rowOff>
    </xdr:from>
    <xdr:to>
      <xdr:col>48</xdr:col>
      <xdr:colOff>116253</xdr:colOff>
      <xdr:row>16</xdr:row>
      <xdr:rowOff>8777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201399" y="104775"/>
          <a:ext cx="7231429" cy="3561602"/>
        </a:xfrm>
        <a:prstGeom prst="rect">
          <a:avLst/>
        </a:prstGeom>
      </xdr:spPr>
    </xdr:pic>
    <xdr:clientData/>
  </xdr:twoCellAnchor>
  <xdr:twoCellAnchor>
    <xdr:from>
      <xdr:col>39</xdr:col>
      <xdr:colOff>226403</xdr:colOff>
      <xdr:row>33</xdr:row>
      <xdr:rowOff>2200</xdr:rowOff>
    </xdr:from>
    <xdr:to>
      <xdr:col>41</xdr:col>
      <xdr:colOff>226403</xdr:colOff>
      <xdr:row>39</xdr:row>
      <xdr:rowOff>2200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00000000-0008-0000-0A00-00007D000000}"/>
            </a:ext>
          </a:extLst>
        </xdr:cNvPr>
        <xdr:cNvCxnSpPr/>
      </xdr:nvCxnSpPr>
      <xdr:spPr>
        <a:xfrm flipH="1">
          <a:off x="16256978" y="6860200"/>
          <a:ext cx="457200" cy="13716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7331</xdr:colOff>
      <xdr:row>33</xdr:row>
      <xdr:rowOff>454</xdr:rowOff>
    </xdr:from>
    <xdr:to>
      <xdr:col>46</xdr:col>
      <xdr:colOff>4536</xdr:colOff>
      <xdr:row>39</xdr:row>
      <xdr:rowOff>2198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A00-00007E000000}"/>
            </a:ext>
          </a:extLst>
        </xdr:cNvPr>
        <xdr:cNvCxnSpPr/>
      </xdr:nvCxnSpPr>
      <xdr:spPr>
        <a:xfrm flipH="1">
          <a:off x="17180906" y="6858454"/>
          <a:ext cx="454405" cy="137334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4536</xdr:colOff>
      <xdr:row>33</xdr:row>
      <xdr:rowOff>0</xdr:rowOff>
    </xdr:from>
    <xdr:to>
      <xdr:col>49</xdr:col>
      <xdr:colOff>0</xdr:colOff>
      <xdr:row>39</xdr:row>
      <xdr:rowOff>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00000000-0008-0000-0A00-00007F000000}"/>
            </a:ext>
          </a:extLst>
        </xdr:cNvPr>
        <xdr:cNvCxnSpPr/>
      </xdr:nvCxnSpPr>
      <xdr:spPr>
        <a:xfrm>
          <a:off x="2728686" y="10801350"/>
          <a:ext cx="490764" cy="12001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4536</xdr:colOff>
      <xdr:row>33</xdr:row>
      <xdr:rowOff>0</xdr:rowOff>
    </xdr:from>
    <xdr:to>
      <xdr:col>45</xdr:col>
      <xdr:colOff>0</xdr:colOff>
      <xdr:row>39</xdr:row>
      <xdr:rowOff>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00000000-0008-0000-0A00-000080000000}"/>
            </a:ext>
          </a:extLst>
        </xdr:cNvPr>
        <xdr:cNvCxnSpPr/>
      </xdr:nvCxnSpPr>
      <xdr:spPr>
        <a:xfrm>
          <a:off x="1738086" y="10801350"/>
          <a:ext cx="490764" cy="12001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62453</xdr:colOff>
      <xdr:row>37</xdr:row>
      <xdr:rowOff>133350</xdr:rowOff>
    </xdr:from>
    <xdr:to>
      <xdr:col>45</xdr:col>
      <xdr:colOff>28707</xdr:colOff>
      <xdr:row>37</xdr:row>
      <xdr:rowOff>133351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00000000-0008-0000-0A00-000081000000}"/>
            </a:ext>
          </a:extLst>
        </xdr:cNvPr>
        <xdr:cNvCxnSpPr/>
      </xdr:nvCxnSpPr>
      <xdr:spPr>
        <a:xfrm flipH="1">
          <a:off x="16093028" y="7905750"/>
          <a:ext cx="1337854" cy="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59765</xdr:colOff>
      <xdr:row>33</xdr:row>
      <xdr:rowOff>4536</xdr:rowOff>
    </xdr:from>
    <xdr:to>
      <xdr:col>41</xdr:col>
      <xdr:colOff>200916</xdr:colOff>
      <xdr:row>33</xdr:row>
      <xdr:rowOff>4537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00000000-0008-0000-0A00-000082000000}"/>
            </a:ext>
          </a:extLst>
        </xdr:cNvPr>
        <xdr:cNvCxnSpPr/>
      </xdr:nvCxnSpPr>
      <xdr:spPr>
        <a:xfrm flipH="1">
          <a:off x="802715" y="10805886"/>
          <a:ext cx="636451" cy="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4536</xdr:colOff>
      <xdr:row>36</xdr:row>
      <xdr:rowOff>47172</xdr:rowOff>
    </xdr:from>
    <xdr:to>
      <xdr:col>40</xdr:col>
      <xdr:colOff>4537</xdr:colOff>
      <xdr:row>37</xdr:row>
      <xdr:rowOff>130992</xdr:rowOff>
    </xdr:to>
    <xdr:cxnSp macro="">
      <xdr:nvCxnSpPr>
        <xdr:cNvPr id="131" name="Straight Arrow Connector 130">
          <a:extLst>
            <a:ext uri="{FF2B5EF4-FFF2-40B4-BE49-F238E27FC236}">
              <a16:creationId xmlns:a16="http://schemas.microsoft.com/office/drawing/2014/main" id="{00000000-0008-0000-0A00-000083000000}"/>
            </a:ext>
          </a:extLst>
        </xdr:cNvPr>
        <xdr:cNvCxnSpPr/>
      </xdr:nvCxnSpPr>
      <xdr:spPr>
        <a:xfrm flipH="1">
          <a:off x="16263711" y="7590972"/>
          <a:ext cx="1" cy="312420"/>
        </a:xfrm>
        <a:prstGeom prst="straightConnector1">
          <a:avLst/>
        </a:prstGeom>
        <a:ln w="6350">
          <a:solidFill>
            <a:schemeClr val="tx1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249464</xdr:colOff>
      <xdr:row>33</xdr:row>
      <xdr:rowOff>13606</xdr:rowOff>
    </xdr:from>
    <xdr:to>
      <xdr:col>40</xdr:col>
      <xdr:colOff>2</xdr:colOff>
      <xdr:row>34</xdr:row>
      <xdr:rowOff>188866</xdr:rowOff>
    </xdr:to>
    <xdr:cxnSp macro="">
      <xdr:nvCxnSpPr>
        <xdr:cNvPr id="132" name="Straight Arrow Connector 131">
          <a:extLst>
            <a:ext uri="{FF2B5EF4-FFF2-40B4-BE49-F238E27FC236}">
              <a16:creationId xmlns:a16="http://schemas.microsoft.com/office/drawing/2014/main" id="{00000000-0008-0000-0A00-000084000000}"/>
            </a:ext>
          </a:extLst>
        </xdr:cNvPr>
        <xdr:cNvCxnSpPr/>
      </xdr:nvCxnSpPr>
      <xdr:spPr>
        <a:xfrm flipH="1" flipV="1">
          <a:off x="992414" y="10814956"/>
          <a:ext cx="0" cy="375285"/>
        </a:xfrm>
        <a:prstGeom prst="straightConnector1">
          <a:avLst/>
        </a:prstGeom>
        <a:ln w="6350">
          <a:solidFill>
            <a:schemeClr val="tx1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127000</xdr:colOff>
      <xdr:row>33</xdr:row>
      <xdr:rowOff>31750</xdr:rowOff>
    </xdr:from>
    <xdr:to>
      <xdr:col>42</xdr:col>
      <xdr:colOff>131536</xdr:colOff>
      <xdr:row>40</xdr:row>
      <xdr:rowOff>69850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00000000-0008-0000-0A00-000085000000}"/>
            </a:ext>
          </a:extLst>
        </xdr:cNvPr>
        <xdr:cNvCxnSpPr/>
      </xdr:nvCxnSpPr>
      <xdr:spPr>
        <a:xfrm flipH="1">
          <a:off x="1612900" y="10833100"/>
          <a:ext cx="4536" cy="1438275"/>
        </a:xfrm>
        <a:prstGeom prst="line">
          <a:avLst/>
        </a:prstGeom>
        <a:ln>
          <a:solidFill>
            <a:schemeClr val="tx1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127000</xdr:colOff>
      <xdr:row>33</xdr:row>
      <xdr:rowOff>22678</xdr:rowOff>
    </xdr:from>
    <xdr:to>
      <xdr:col>46</xdr:col>
      <xdr:colOff>131536</xdr:colOff>
      <xdr:row>40</xdr:row>
      <xdr:rowOff>60778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00000000-0008-0000-0A00-000086000000}"/>
            </a:ext>
          </a:extLst>
        </xdr:cNvPr>
        <xdr:cNvCxnSpPr/>
      </xdr:nvCxnSpPr>
      <xdr:spPr>
        <a:xfrm flipH="1">
          <a:off x="2603500" y="10824028"/>
          <a:ext cx="4536" cy="1438275"/>
        </a:xfrm>
        <a:prstGeom prst="line">
          <a:avLst/>
        </a:prstGeom>
        <a:ln>
          <a:solidFill>
            <a:schemeClr val="tx1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122465</xdr:colOff>
      <xdr:row>40</xdr:row>
      <xdr:rowOff>22678</xdr:rowOff>
    </xdr:from>
    <xdr:to>
      <xdr:col>46</xdr:col>
      <xdr:colOff>130448</xdr:colOff>
      <xdr:row>40</xdr:row>
      <xdr:rowOff>22678</xdr:rowOff>
    </xdr:to>
    <xdr:cxnSp macro="">
      <xdr:nvCxnSpPr>
        <xdr:cNvPr id="135" name="Straight Arrow Connector 134">
          <a:extLst>
            <a:ext uri="{FF2B5EF4-FFF2-40B4-BE49-F238E27FC236}">
              <a16:creationId xmlns:a16="http://schemas.microsoft.com/office/drawing/2014/main" id="{00000000-0008-0000-0A00-000087000000}"/>
            </a:ext>
          </a:extLst>
        </xdr:cNvPr>
        <xdr:cNvCxnSpPr/>
      </xdr:nvCxnSpPr>
      <xdr:spPr>
        <a:xfrm>
          <a:off x="1608365" y="12224203"/>
          <a:ext cx="998583" cy="0"/>
        </a:xfrm>
        <a:prstGeom prst="straightConnector1">
          <a:avLst/>
        </a:prstGeom>
        <a:ln w="6350">
          <a:solidFill>
            <a:schemeClr val="tx1"/>
          </a:solidFill>
          <a:headEnd type="triangle" w="sm" len="sm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121557</xdr:colOff>
      <xdr:row>31</xdr:row>
      <xdr:rowOff>75746</xdr:rowOff>
    </xdr:from>
    <xdr:to>
      <xdr:col>42</xdr:col>
      <xdr:colOff>121557</xdr:colOff>
      <xdr:row>32</xdr:row>
      <xdr:rowOff>31169</xdr:rowOff>
    </xdr:to>
    <xdr:cxnSp macro="">
      <xdr:nvCxnSpPr>
        <xdr:cNvPr id="139" name="Straight Arrow Connector 138">
          <a:extLst>
            <a:ext uri="{FF2B5EF4-FFF2-40B4-BE49-F238E27FC236}">
              <a16:creationId xmlns:a16="http://schemas.microsoft.com/office/drawing/2014/main" id="{00000000-0008-0000-0A00-00008B000000}"/>
            </a:ext>
          </a:extLst>
        </xdr:cNvPr>
        <xdr:cNvCxnSpPr/>
      </xdr:nvCxnSpPr>
      <xdr:spPr>
        <a:xfrm>
          <a:off x="17066532" y="7390946"/>
          <a:ext cx="0" cy="184023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112485</xdr:colOff>
      <xdr:row>31</xdr:row>
      <xdr:rowOff>75746</xdr:rowOff>
    </xdr:from>
    <xdr:to>
      <xdr:col>46</xdr:col>
      <xdr:colOff>112485</xdr:colOff>
      <xdr:row>32</xdr:row>
      <xdr:rowOff>31169</xdr:rowOff>
    </xdr:to>
    <xdr:cxnSp macro="">
      <xdr:nvCxnSpPr>
        <xdr:cNvPr id="140" name="Straight Arrow Connector 139">
          <a:extLst>
            <a:ext uri="{FF2B5EF4-FFF2-40B4-BE49-F238E27FC236}">
              <a16:creationId xmlns:a16="http://schemas.microsoft.com/office/drawing/2014/main" id="{00000000-0008-0000-0A00-00008C000000}"/>
            </a:ext>
          </a:extLst>
        </xdr:cNvPr>
        <xdr:cNvCxnSpPr/>
      </xdr:nvCxnSpPr>
      <xdr:spPr>
        <a:xfrm>
          <a:off x="17971860" y="7390946"/>
          <a:ext cx="0" cy="184023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205013</xdr:colOff>
      <xdr:row>29</xdr:row>
      <xdr:rowOff>91624</xdr:rowOff>
    </xdr:from>
    <xdr:to>
      <xdr:col>43</xdr:col>
      <xdr:colOff>22133</xdr:colOff>
      <xdr:row>30</xdr:row>
      <xdr:rowOff>91624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SpPr/>
      </xdr:nvSpPr>
      <xdr:spPr>
        <a:xfrm>
          <a:off x="16921388" y="6949624"/>
          <a:ext cx="274320" cy="228600"/>
        </a:xfrm>
        <a:prstGeom prst="ellipse">
          <a:avLst/>
        </a:prstGeom>
        <a:solidFill>
          <a:schemeClr val="bg1">
            <a:lumMod val="5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45</xdr:col>
      <xdr:colOff>205922</xdr:colOff>
      <xdr:row>29</xdr:row>
      <xdr:rowOff>91622</xdr:rowOff>
    </xdr:from>
    <xdr:to>
      <xdr:col>47</xdr:col>
      <xdr:colOff>23042</xdr:colOff>
      <xdr:row>30</xdr:row>
      <xdr:rowOff>91622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A00-00008E000000}"/>
            </a:ext>
          </a:extLst>
        </xdr:cNvPr>
        <xdr:cNvSpPr/>
      </xdr:nvSpPr>
      <xdr:spPr>
        <a:xfrm>
          <a:off x="17836697" y="6949622"/>
          <a:ext cx="274320" cy="228600"/>
        </a:xfrm>
        <a:prstGeom prst="ellipse">
          <a:avLst/>
        </a:prstGeom>
        <a:solidFill>
          <a:schemeClr val="bg1">
            <a:lumMod val="5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39</xdr:col>
      <xdr:colOff>226403</xdr:colOff>
      <xdr:row>49</xdr:row>
      <xdr:rowOff>221275</xdr:rowOff>
    </xdr:from>
    <xdr:to>
      <xdr:col>41</xdr:col>
      <xdr:colOff>226403</xdr:colOff>
      <xdr:row>55</xdr:row>
      <xdr:rowOff>221275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CxnSpPr/>
      </xdr:nvCxnSpPr>
      <xdr:spPr>
        <a:xfrm flipH="1">
          <a:off x="16028378" y="12794275"/>
          <a:ext cx="457200" cy="13716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7331</xdr:colOff>
      <xdr:row>49</xdr:row>
      <xdr:rowOff>219529</xdr:rowOff>
    </xdr:from>
    <xdr:to>
      <xdr:col>46</xdr:col>
      <xdr:colOff>4536</xdr:colOff>
      <xdr:row>55</xdr:row>
      <xdr:rowOff>221273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CxnSpPr/>
      </xdr:nvCxnSpPr>
      <xdr:spPr>
        <a:xfrm flipH="1">
          <a:off x="16952306" y="12792529"/>
          <a:ext cx="454405" cy="137334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4536</xdr:colOff>
      <xdr:row>50</xdr:row>
      <xdr:rowOff>0</xdr:rowOff>
    </xdr:from>
    <xdr:to>
      <xdr:col>49</xdr:col>
      <xdr:colOff>0</xdr:colOff>
      <xdr:row>56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CxnSpPr/>
      </xdr:nvCxnSpPr>
      <xdr:spPr>
        <a:xfrm>
          <a:off x="6938736" y="10801350"/>
          <a:ext cx="490764" cy="12001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4536</xdr:colOff>
      <xdr:row>50</xdr:row>
      <xdr:rowOff>0</xdr:rowOff>
    </xdr:from>
    <xdr:to>
      <xdr:col>45</xdr:col>
      <xdr:colOff>0</xdr:colOff>
      <xdr:row>56</xdr:row>
      <xdr:rowOff>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CxnSpPr/>
      </xdr:nvCxnSpPr>
      <xdr:spPr>
        <a:xfrm>
          <a:off x="5948136" y="10801350"/>
          <a:ext cx="490764" cy="12001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62453</xdr:colOff>
      <xdr:row>54</xdr:row>
      <xdr:rowOff>95250</xdr:rowOff>
    </xdr:from>
    <xdr:to>
      <xdr:col>45</xdr:col>
      <xdr:colOff>28707</xdr:colOff>
      <xdr:row>54</xdr:row>
      <xdr:rowOff>95251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00000000-0008-0000-0A00-000093000000}"/>
            </a:ext>
          </a:extLst>
        </xdr:cNvPr>
        <xdr:cNvCxnSpPr/>
      </xdr:nvCxnSpPr>
      <xdr:spPr>
        <a:xfrm flipH="1">
          <a:off x="5015453" y="11696700"/>
          <a:ext cx="1452154" cy="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59765</xdr:colOff>
      <xdr:row>50</xdr:row>
      <xdr:rowOff>4536</xdr:rowOff>
    </xdr:from>
    <xdr:to>
      <xdr:col>41</xdr:col>
      <xdr:colOff>200916</xdr:colOff>
      <xdr:row>50</xdr:row>
      <xdr:rowOff>4537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CxnSpPr/>
      </xdr:nvCxnSpPr>
      <xdr:spPr>
        <a:xfrm flipH="1">
          <a:off x="5012765" y="10805886"/>
          <a:ext cx="636451" cy="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4536</xdr:colOff>
      <xdr:row>53</xdr:row>
      <xdr:rowOff>9072</xdr:rowOff>
    </xdr:from>
    <xdr:to>
      <xdr:col>40</xdr:col>
      <xdr:colOff>4537</xdr:colOff>
      <xdr:row>54</xdr:row>
      <xdr:rowOff>92892</xdr:rowOff>
    </xdr:to>
    <xdr:cxnSp macro="">
      <xdr:nvCxnSpPr>
        <xdr:cNvPr id="149" name="Straight Arrow Connector 148">
          <a:extLst>
            <a:ext uri="{FF2B5EF4-FFF2-40B4-BE49-F238E27FC236}">
              <a16:creationId xmlns:a16="http://schemas.microsoft.com/office/drawing/2014/main" id="{00000000-0008-0000-0A00-000095000000}"/>
            </a:ext>
          </a:extLst>
        </xdr:cNvPr>
        <xdr:cNvCxnSpPr/>
      </xdr:nvCxnSpPr>
      <xdr:spPr>
        <a:xfrm flipH="1">
          <a:off x="5205186" y="11410497"/>
          <a:ext cx="1" cy="283845"/>
        </a:xfrm>
        <a:prstGeom prst="straightConnector1">
          <a:avLst/>
        </a:prstGeom>
        <a:ln w="6350">
          <a:solidFill>
            <a:schemeClr val="tx1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249464</xdr:colOff>
      <xdr:row>50</xdr:row>
      <xdr:rowOff>13606</xdr:rowOff>
    </xdr:from>
    <xdr:to>
      <xdr:col>40</xdr:col>
      <xdr:colOff>2</xdr:colOff>
      <xdr:row>51</xdr:row>
      <xdr:rowOff>188866</xdr:rowOff>
    </xdr:to>
    <xdr:cxnSp macro="">
      <xdr:nvCxnSpPr>
        <xdr:cNvPr id="150" name="Straight Arrow Connector 149">
          <a:extLst>
            <a:ext uri="{FF2B5EF4-FFF2-40B4-BE49-F238E27FC236}">
              <a16:creationId xmlns:a16="http://schemas.microsoft.com/office/drawing/2014/main" id="{00000000-0008-0000-0A00-000096000000}"/>
            </a:ext>
          </a:extLst>
        </xdr:cNvPr>
        <xdr:cNvCxnSpPr/>
      </xdr:nvCxnSpPr>
      <xdr:spPr>
        <a:xfrm flipH="1" flipV="1">
          <a:off x="5202464" y="10814956"/>
          <a:ext cx="0" cy="375285"/>
        </a:xfrm>
        <a:prstGeom prst="straightConnector1">
          <a:avLst/>
        </a:prstGeom>
        <a:ln w="6350">
          <a:solidFill>
            <a:schemeClr val="tx1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127000</xdr:colOff>
      <xdr:row>50</xdr:row>
      <xdr:rowOff>31750</xdr:rowOff>
    </xdr:from>
    <xdr:to>
      <xdr:col>42</xdr:col>
      <xdr:colOff>131536</xdr:colOff>
      <xdr:row>57</xdr:row>
      <xdr:rowOff>69850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00000000-0008-0000-0A00-000097000000}"/>
            </a:ext>
          </a:extLst>
        </xdr:cNvPr>
        <xdr:cNvCxnSpPr/>
      </xdr:nvCxnSpPr>
      <xdr:spPr>
        <a:xfrm flipH="1">
          <a:off x="5822950" y="10833100"/>
          <a:ext cx="4536" cy="1438275"/>
        </a:xfrm>
        <a:prstGeom prst="line">
          <a:avLst/>
        </a:prstGeom>
        <a:ln>
          <a:solidFill>
            <a:schemeClr val="tx1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127000</xdr:colOff>
      <xdr:row>50</xdr:row>
      <xdr:rowOff>22678</xdr:rowOff>
    </xdr:from>
    <xdr:to>
      <xdr:col>46</xdr:col>
      <xdr:colOff>131536</xdr:colOff>
      <xdr:row>57</xdr:row>
      <xdr:rowOff>60778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00000000-0008-0000-0A00-000098000000}"/>
            </a:ext>
          </a:extLst>
        </xdr:cNvPr>
        <xdr:cNvCxnSpPr/>
      </xdr:nvCxnSpPr>
      <xdr:spPr>
        <a:xfrm flipH="1">
          <a:off x="6813550" y="10824028"/>
          <a:ext cx="4536" cy="1438275"/>
        </a:xfrm>
        <a:prstGeom prst="line">
          <a:avLst/>
        </a:prstGeom>
        <a:ln>
          <a:solidFill>
            <a:schemeClr val="tx1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112940</xdr:colOff>
      <xdr:row>57</xdr:row>
      <xdr:rowOff>13153</xdr:rowOff>
    </xdr:from>
    <xdr:to>
      <xdr:col>46</xdr:col>
      <xdr:colOff>120923</xdr:colOff>
      <xdr:row>57</xdr:row>
      <xdr:rowOff>13153</xdr:rowOff>
    </xdr:to>
    <xdr:cxnSp macro="">
      <xdr:nvCxnSpPr>
        <xdr:cNvPr id="153" name="Straight Arrow Connector 152">
          <a:extLst>
            <a:ext uri="{FF2B5EF4-FFF2-40B4-BE49-F238E27FC236}">
              <a16:creationId xmlns:a16="http://schemas.microsoft.com/office/drawing/2014/main" id="{00000000-0008-0000-0A00-000099000000}"/>
            </a:ext>
          </a:extLst>
        </xdr:cNvPr>
        <xdr:cNvCxnSpPr/>
      </xdr:nvCxnSpPr>
      <xdr:spPr>
        <a:xfrm>
          <a:off x="17057915" y="13043353"/>
          <a:ext cx="922383" cy="0"/>
        </a:xfrm>
        <a:prstGeom prst="straightConnector1">
          <a:avLst/>
        </a:prstGeom>
        <a:ln w="6350">
          <a:solidFill>
            <a:schemeClr val="tx1"/>
          </a:solidFill>
          <a:headEnd type="triangle" w="sm" len="sm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140607</xdr:colOff>
      <xdr:row>48</xdr:row>
      <xdr:rowOff>75746</xdr:rowOff>
    </xdr:from>
    <xdr:to>
      <xdr:col>42</xdr:col>
      <xdr:colOff>140607</xdr:colOff>
      <xdr:row>49</xdr:row>
      <xdr:rowOff>31169</xdr:rowOff>
    </xdr:to>
    <xdr:cxnSp macro="">
      <xdr:nvCxnSpPr>
        <xdr:cNvPr id="157" name="Straight Arrow Connector 156">
          <a:extLst>
            <a:ext uri="{FF2B5EF4-FFF2-40B4-BE49-F238E27FC236}">
              <a16:creationId xmlns:a16="http://schemas.microsoft.com/office/drawing/2014/main" id="{00000000-0008-0000-0A00-00009D000000}"/>
            </a:ext>
          </a:extLst>
        </xdr:cNvPr>
        <xdr:cNvCxnSpPr/>
      </xdr:nvCxnSpPr>
      <xdr:spPr>
        <a:xfrm>
          <a:off x="5836557" y="10477046"/>
          <a:ext cx="0" cy="155448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131535</xdr:colOff>
      <xdr:row>48</xdr:row>
      <xdr:rowOff>75746</xdr:rowOff>
    </xdr:from>
    <xdr:to>
      <xdr:col>46</xdr:col>
      <xdr:colOff>131535</xdr:colOff>
      <xdr:row>49</xdr:row>
      <xdr:rowOff>31169</xdr:rowOff>
    </xdr:to>
    <xdr:cxnSp macro="">
      <xdr:nvCxnSpPr>
        <xdr:cNvPr id="158" name="Straight Arrow Connector 157">
          <a:extLst>
            <a:ext uri="{FF2B5EF4-FFF2-40B4-BE49-F238E27FC236}">
              <a16:creationId xmlns:a16="http://schemas.microsoft.com/office/drawing/2014/main" id="{00000000-0008-0000-0A00-00009E000000}"/>
            </a:ext>
          </a:extLst>
        </xdr:cNvPr>
        <xdr:cNvCxnSpPr/>
      </xdr:nvCxnSpPr>
      <xdr:spPr>
        <a:xfrm>
          <a:off x="6818085" y="10477046"/>
          <a:ext cx="0" cy="155448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112985</xdr:colOff>
      <xdr:row>47</xdr:row>
      <xdr:rowOff>30382</xdr:rowOff>
    </xdr:from>
    <xdr:to>
      <xdr:col>46</xdr:col>
      <xdr:colOff>133481</xdr:colOff>
      <xdr:row>47</xdr:row>
      <xdr:rowOff>30382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00000000-0008-0000-0A00-00009F000000}"/>
            </a:ext>
          </a:extLst>
        </xdr:cNvPr>
        <xdr:cNvCxnSpPr/>
      </xdr:nvCxnSpPr>
      <xdr:spPr>
        <a:xfrm>
          <a:off x="5808935" y="10231657"/>
          <a:ext cx="1011096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9525</xdr:colOff>
      <xdr:row>46</xdr:row>
      <xdr:rowOff>142874</xdr:rowOff>
    </xdr:from>
    <xdr:to>
      <xdr:col>43</xdr:col>
      <xdr:colOff>0</xdr:colOff>
      <xdr:row>47</xdr:row>
      <xdr:rowOff>123824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A00-0000A0000000}"/>
            </a:ext>
          </a:extLst>
        </xdr:cNvPr>
        <xdr:cNvSpPr/>
      </xdr:nvSpPr>
      <xdr:spPr>
        <a:xfrm>
          <a:off x="5705475" y="10144124"/>
          <a:ext cx="238125" cy="180975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46</xdr:row>
      <xdr:rowOff>142875</xdr:rowOff>
    </xdr:from>
    <xdr:to>
      <xdr:col>47</xdr:col>
      <xdr:colOff>0</xdr:colOff>
      <xdr:row>47</xdr:row>
      <xdr:rowOff>123825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0000000-0008-0000-0A00-0000A1000000}"/>
            </a:ext>
          </a:extLst>
        </xdr:cNvPr>
        <xdr:cNvSpPr/>
      </xdr:nvSpPr>
      <xdr:spPr>
        <a:xfrm>
          <a:off x="17859375" y="11115675"/>
          <a:ext cx="228600" cy="209550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42</xdr:col>
      <xdr:colOff>0</xdr:colOff>
      <xdr:row>30</xdr:row>
      <xdr:rowOff>123825</xdr:rowOff>
    </xdr:from>
    <xdr:to>
      <xdr:col>42</xdr:col>
      <xdr:colOff>246888</xdr:colOff>
      <xdr:row>30</xdr:row>
      <xdr:rowOff>123825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00000000-0008-0000-0A00-0000A2000000}"/>
            </a:ext>
          </a:extLst>
        </xdr:cNvPr>
        <xdr:cNvCxnSpPr/>
      </xdr:nvCxnSpPr>
      <xdr:spPr>
        <a:xfrm>
          <a:off x="1485900" y="10325100"/>
          <a:ext cx="246888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30</xdr:row>
      <xdr:rowOff>123825</xdr:rowOff>
    </xdr:from>
    <xdr:to>
      <xdr:col>46</xdr:col>
      <xdr:colOff>246888</xdr:colOff>
      <xdr:row>30</xdr:row>
      <xdr:rowOff>123825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00000000-0008-0000-0A00-0000A3000000}"/>
            </a:ext>
          </a:extLst>
        </xdr:cNvPr>
        <xdr:cNvCxnSpPr/>
      </xdr:nvCxnSpPr>
      <xdr:spPr>
        <a:xfrm>
          <a:off x="2476500" y="10325100"/>
          <a:ext cx="246888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5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54.xml"/><Relationship Id="rId5" Type="http://schemas.openxmlformats.org/officeDocument/2006/relationships/ctrlProp" Target="../ctrlProps/ctrlProp53.xml"/><Relationship Id="rId4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4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0" Type="http://schemas.openxmlformats.org/officeDocument/2006/relationships/ctrlProp" Target="../ctrlProps/ctrlProp48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showGridLines="0" showRowColHeaders="0" workbookViewId="0">
      <selection activeCell="D7" sqref="D7:D8"/>
    </sheetView>
  </sheetViews>
  <sheetFormatPr defaultColWidth="0" defaultRowHeight="18.75" zeroHeight="1"/>
  <cols>
    <col min="1" max="3" width="9.140625" style="312" customWidth="1"/>
    <col min="4" max="4" width="36.5703125" style="312" customWidth="1"/>
    <col min="5" max="19" width="9.7109375" style="312" customWidth="1"/>
    <col min="20" max="21" width="9.140625" style="312" customWidth="1"/>
    <col min="22" max="32" width="0" style="312" hidden="1" customWidth="1"/>
    <col min="33" max="16384" width="9.140625" style="312" hidden="1"/>
  </cols>
  <sheetData>
    <row r="1" spans="1:32" ht="22.5" customHeight="1" thickBot="1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>
      <c r="A2" s="313"/>
      <c r="B2" s="313"/>
      <c r="C2" s="313"/>
      <c r="D2" s="314"/>
      <c r="E2" s="315"/>
      <c r="F2" s="315"/>
      <c r="G2" s="315"/>
      <c r="H2" s="315"/>
      <c r="I2" s="315"/>
      <c r="J2" s="315"/>
      <c r="K2" s="315"/>
      <c r="L2" s="315"/>
      <c r="M2" s="315"/>
      <c r="N2" s="316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>
      <c r="A3" s="313"/>
      <c r="B3" s="313"/>
      <c r="C3" s="313"/>
      <c r="D3" s="649" t="s">
        <v>259</v>
      </c>
      <c r="E3" s="317"/>
      <c r="F3" s="317"/>
      <c r="G3" s="317"/>
      <c r="H3" s="317"/>
      <c r="I3" s="317"/>
      <c r="J3" s="650" t="s">
        <v>260</v>
      </c>
      <c r="K3" s="650"/>
      <c r="L3" s="650"/>
      <c r="M3" s="650"/>
      <c r="N3" s="651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>
      <c r="A4" s="313"/>
      <c r="B4" s="313"/>
      <c r="C4" s="313"/>
      <c r="D4" s="649"/>
      <c r="E4" s="317"/>
      <c r="F4" s="317"/>
      <c r="G4" s="317"/>
      <c r="H4" s="317"/>
      <c r="I4" s="317"/>
      <c r="J4" s="650"/>
      <c r="K4" s="650"/>
      <c r="L4" s="650"/>
      <c r="M4" s="650"/>
      <c r="N4" s="651"/>
      <c r="O4" s="313"/>
      <c r="P4" s="325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3"/>
      <c r="D5" s="649"/>
      <c r="E5" s="317"/>
      <c r="F5" s="317"/>
      <c r="G5" s="317"/>
      <c r="H5" s="317"/>
      <c r="I5" s="317"/>
      <c r="J5" s="650"/>
      <c r="K5" s="650"/>
      <c r="L5" s="650"/>
      <c r="M5" s="650"/>
      <c r="N5" s="651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</row>
    <row r="6" spans="1:32">
      <c r="A6" s="313"/>
      <c r="B6" s="313"/>
      <c r="C6" s="313"/>
      <c r="D6" s="318"/>
      <c r="E6" s="317"/>
      <c r="F6" s="317"/>
      <c r="G6" s="317"/>
      <c r="H6" s="317"/>
      <c r="I6" s="317"/>
      <c r="J6" s="317"/>
      <c r="K6" s="317"/>
      <c r="L6" s="317"/>
      <c r="M6" s="317"/>
      <c r="N6" s="319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</row>
    <row r="7" spans="1:32">
      <c r="A7" s="313"/>
      <c r="B7" s="313"/>
      <c r="C7" s="313"/>
      <c r="D7" s="642" t="s">
        <v>245</v>
      </c>
      <c r="E7" s="647" t="s">
        <v>252</v>
      </c>
      <c r="F7" s="647"/>
      <c r="G7" s="647"/>
      <c r="H7" s="647"/>
      <c r="I7" s="647"/>
      <c r="J7" s="647"/>
      <c r="K7" s="647"/>
      <c r="L7" s="647"/>
      <c r="M7" s="647"/>
      <c r="N7" s="648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</row>
    <row r="8" spans="1:32">
      <c r="A8" s="313"/>
      <c r="B8" s="313"/>
      <c r="C8" s="313"/>
      <c r="D8" s="644"/>
      <c r="E8" s="652"/>
      <c r="F8" s="652"/>
      <c r="G8" s="652"/>
      <c r="H8" s="652"/>
      <c r="I8" s="652"/>
      <c r="J8" s="652"/>
      <c r="K8" s="652"/>
      <c r="L8" s="652"/>
      <c r="M8" s="652"/>
      <c r="N8" s="65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</row>
    <row r="9" spans="1:32">
      <c r="A9" s="313"/>
      <c r="B9" s="313"/>
      <c r="C9" s="313"/>
      <c r="D9" s="639" t="s">
        <v>246</v>
      </c>
      <c r="E9" s="635" t="s">
        <v>253</v>
      </c>
      <c r="F9" s="635"/>
      <c r="G9" s="635"/>
      <c r="H9" s="635"/>
      <c r="I9" s="635"/>
      <c r="J9" s="635"/>
      <c r="K9" s="635"/>
      <c r="L9" s="635"/>
      <c r="M9" s="635"/>
      <c r="N9" s="636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</row>
    <row r="10" spans="1:32">
      <c r="A10" s="313"/>
      <c r="B10" s="313"/>
      <c r="C10" s="313"/>
      <c r="D10" s="640"/>
      <c r="E10" s="637"/>
      <c r="F10" s="637"/>
      <c r="G10" s="637"/>
      <c r="H10" s="637"/>
      <c r="I10" s="637"/>
      <c r="J10" s="637"/>
      <c r="K10" s="637"/>
      <c r="L10" s="637"/>
      <c r="M10" s="637"/>
      <c r="N10" s="638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</row>
    <row r="11" spans="1:32">
      <c r="A11" s="313"/>
      <c r="B11" s="313"/>
      <c r="C11" s="313"/>
      <c r="D11" s="640"/>
      <c r="E11" s="654" t="s">
        <v>254</v>
      </c>
      <c r="F11" s="655"/>
      <c r="G11" s="655"/>
      <c r="H11" s="655"/>
      <c r="I11" s="655"/>
      <c r="J11" s="655"/>
      <c r="K11" s="655"/>
      <c r="L11" s="655"/>
      <c r="M11" s="655"/>
      <c r="N11" s="656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</row>
    <row r="12" spans="1:32">
      <c r="A12" s="313"/>
      <c r="B12" s="313"/>
      <c r="C12" s="313"/>
      <c r="D12" s="640"/>
      <c r="E12" s="655"/>
      <c r="F12" s="655"/>
      <c r="G12" s="655"/>
      <c r="H12" s="655"/>
      <c r="I12" s="655"/>
      <c r="J12" s="655"/>
      <c r="K12" s="655"/>
      <c r="L12" s="655"/>
      <c r="M12" s="655"/>
      <c r="N12" s="656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</row>
    <row r="13" spans="1:32">
      <c r="A13" s="313"/>
      <c r="B13" s="313"/>
      <c r="C13" s="313"/>
      <c r="D13" s="641"/>
      <c r="E13" s="320"/>
      <c r="F13" s="320"/>
      <c r="G13" s="320"/>
      <c r="H13" s="320"/>
      <c r="I13" s="320"/>
      <c r="J13" s="320"/>
      <c r="K13" s="320"/>
      <c r="L13" s="320"/>
      <c r="M13" s="320"/>
      <c r="N13" s="321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</row>
    <row r="14" spans="1:32">
      <c r="A14" s="313"/>
      <c r="B14" s="313"/>
      <c r="C14" s="313"/>
      <c r="D14" s="642" t="s">
        <v>247</v>
      </c>
      <c r="E14" s="631" t="s">
        <v>255</v>
      </c>
      <c r="F14" s="631"/>
      <c r="G14" s="631"/>
      <c r="H14" s="631"/>
      <c r="I14" s="631"/>
      <c r="J14" s="631"/>
      <c r="K14" s="631"/>
      <c r="L14" s="631"/>
      <c r="M14" s="631"/>
      <c r="N14" s="632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</row>
    <row r="15" spans="1:32">
      <c r="A15" s="313"/>
      <c r="B15" s="313"/>
      <c r="C15" s="313"/>
      <c r="D15" s="643"/>
      <c r="E15" s="631"/>
      <c r="F15" s="631"/>
      <c r="G15" s="631"/>
      <c r="H15" s="631"/>
      <c r="I15" s="631"/>
      <c r="J15" s="631"/>
      <c r="K15" s="631"/>
      <c r="L15" s="631"/>
      <c r="M15" s="631"/>
      <c r="N15" s="632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</row>
    <row r="16" spans="1:32">
      <c r="A16" s="313"/>
      <c r="B16" s="313"/>
      <c r="C16" s="313"/>
      <c r="D16" s="643"/>
      <c r="E16" s="633" t="s">
        <v>256</v>
      </c>
      <c r="F16" s="633"/>
      <c r="G16" s="633"/>
      <c r="H16" s="633"/>
      <c r="I16" s="633"/>
      <c r="J16" s="633"/>
      <c r="K16" s="633"/>
      <c r="L16" s="633"/>
      <c r="M16" s="633"/>
      <c r="N16" s="634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</row>
    <row r="17" spans="1:32">
      <c r="A17" s="313"/>
      <c r="B17" s="313"/>
      <c r="C17" s="313"/>
      <c r="D17" s="643"/>
      <c r="E17" s="633"/>
      <c r="F17" s="633"/>
      <c r="G17" s="633"/>
      <c r="H17" s="633"/>
      <c r="I17" s="633"/>
      <c r="J17" s="633"/>
      <c r="K17" s="633"/>
      <c r="L17" s="633"/>
      <c r="M17" s="633"/>
      <c r="N17" s="634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</row>
    <row r="18" spans="1:32">
      <c r="A18" s="313"/>
      <c r="B18" s="313"/>
      <c r="C18" s="313"/>
      <c r="D18" s="644"/>
      <c r="E18" s="431"/>
      <c r="F18" s="431"/>
      <c r="G18" s="431"/>
      <c r="H18" s="431"/>
      <c r="I18" s="431"/>
      <c r="J18" s="431"/>
      <c r="K18" s="431"/>
      <c r="L18" s="431"/>
      <c r="M18" s="431"/>
      <c r="N18" s="432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</row>
    <row r="19" spans="1:32">
      <c r="A19" s="313"/>
      <c r="B19" s="313"/>
      <c r="C19" s="313"/>
      <c r="D19" s="639" t="s">
        <v>248</v>
      </c>
      <c r="E19" s="635" t="s">
        <v>257</v>
      </c>
      <c r="F19" s="635"/>
      <c r="G19" s="635"/>
      <c r="H19" s="635"/>
      <c r="I19" s="635"/>
      <c r="J19" s="635"/>
      <c r="K19" s="635"/>
      <c r="L19" s="635"/>
      <c r="M19" s="635"/>
      <c r="N19" s="636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</row>
    <row r="20" spans="1:32">
      <c r="A20" s="313"/>
      <c r="B20" s="313"/>
      <c r="C20" s="313"/>
      <c r="D20" s="640"/>
      <c r="E20" s="637"/>
      <c r="F20" s="637"/>
      <c r="G20" s="637"/>
      <c r="H20" s="637"/>
      <c r="I20" s="637"/>
      <c r="J20" s="637"/>
      <c r="K20" s="637"/>
      <c r="L20" s="637"/>
      <c r="M20" s="637"/>
      <c r="N20" s="638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</row>
    <row r="21" spans="1:32">
      <c r="A21" s="313"/>
      <c r="B21" s="313"/>
      <c r="C21" s="313"/>
      <c r="D21" s="640"/>
      <c r="E21" s="645" t="s">
        <v>254</v>
      </c>
      <c r="F21" s="645"/>
      <c r="G21" s="645"/>
      <c r="H21" s="645"/>
      <c r="I21" s="645"/>
      <c r="J21" s="645"/>
      <c r="K21" s="645"/>
      <c r="L21" s="645"/>
      <c r="M21" s="645"/>
      <c r="N21" s="646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</row>
    <row r="22" spans="1:32">
      <c r="A22" s="313"/>
      <c r="B22" s="313"/>
      <c r="C22" s="313"/>
      <c r="D22" s="640"/>
      <c r="E22" s="645"/>
      <c r="F22" s="645"/>
      <c r="G22" s="645"/>
      <c r="H22" s="645"/>
      <c r="I22" s="645"/>
      <c r="J22" s="645"/>
      <c r="K22" s="645"/>
      <c r="L22" s="645"/>
      <c r="M22" s="645"/>
      <c r="N22" s="646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</row>
    <row r="23" spans="1:32">
      <c r="A23" s="313"/>
      <c r="B23" s="313"/>
      <c r="C23" s="313"/>
      <c r="D23" s="641"/>
      <c r="E23" s="322"/>
      <c r="F23" s="322"/>
      <c r="G23" s="322"/>
      <c r="H23" s="322"/>
      <c r="I23" s="322"/>
      <c r="J23" s="322"/>
      <c r="K23" s="322"/>
      <c r="L23" s="322"/>
      <c r="M23" s="322"/>
      <c r="N23" s="32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</row>
    <row r="24" spans="1:32">
      <c r="A24" s="313"/>
      <c r="B24" s="313"/>
      <c r="C24" s="313"/>
      <c r="D24" s="642" t="s">
        <v>249</v>
      </c>
      <c r="E24" s="647" t="s">
        <v>251</v>
      </c>
      <c r="F24" s="647"/>
      <c r="G24" s="647"/>
      <c r="H24" s="647"/>
      <c r="I24" s="647"/>
      <c r="J24" s="647"/>
      <c r="K24" s="647"/>
      <c r="L24" s="647"/>
      <c r="M24" s="647"/>
      <c r="N24" s="648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13"/>
      <c r="AB24" s="313"/>
      <c r="AC24" s="313"/>
      <c r="AD24" s="313"/>
      <c r="AE24" s="313"/>
      <c r="AF24" s="313"/>
    </row>
    <row r="25" spans="1:32">
      <c r="A25" s="313"/>
      <c r="B25" s="313"/>
      <c r="C25" s="313"/>
      <c r="D25" s="643"/>
      <c r="E25" s="631"/>
      <c r="F25" s="631"/>
      <c r="G25" s="631"/>
      <c r="H25" s="631"/>
      <c r="I25" s="631"/>
      <c r="J25" s="631"/>
      <c r="K25" s="631"/>
      <c r="L25" s="631"/>
      <c r="M25" s="631"/>
      <c r="N25" s="632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3"/>
      <c r="AB25" s="313"/>
      <c r="AC25" s="313"/>
      <c r="AD25" s="313"/>
      <c r="AE25" s="313"/>
      <c r="AF25" s="313"/>
    </row>
    <row r="26" spans="1:32">
      <c r="A26" s="313"/>
      <c r="B26" s="313"/>
      <c r="C26" s="313"/>
      <c r="D26" s="643"/>
      <c r="E26" s="631" t="s">
        <v>258</v>
      </c>
      <c r="F26" s="631"/>
      <c r="G26" s="631"/>
      <c r="H26" s="631"/>
      <c r="I26" s="631"/>
      <c r="J26" s="631"/>
      <c r="K26" s="631"/>
      <c r="L26" s="631"/>
      <c r="M26" s="631"/>
      <c r="N26" s="632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</row>
    <row r="27" spans="1:32">
      <c r="A27" s="313"/>
      <c r="B27" s="313"/>
      <c r="C27" s="313"/>
      <c r="D27" s="643"/>
      <c r="E27" s="631"/>
      <c r="F27" s="631"/>
      <c r="G27" s="631"/>
      <c r="H27" s="631"/>
      <c r="I27" s="631"/>
      <c r="J27" s="631"/>
      <c r="K27" s="631"/>
      <c r="L27" s="631"/>
      <c r="M27" s="631"/>
      <c r="N27" s="632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</row>
    <row r="28" spans="1:32">
      <c r="A28" s="313"/>
      <c r="B28" s="313"/>
      <c r="C28" s="313"/>
      <c r="D28" s="643"/>
      <c r="E28" s="633" t="s">
        <v>250</v>
      </c>
      <c r="F28" s="633"/>
      <c r="G28" s="633"/>
      <c r="H28" s="633"/>
      <c r="I28" s="633"/>
      <c r="J28" s="633"/>
      <c r="K28" s="633"/>
      <c r="L28" s="633"/>
      <c r="M28" s="633"/>
      <c r="N28" s="634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</row>
    <row r="29" spans="1:32">
      <c r="A29" s="313"/>
      <c r="B29" s="313"/>
      <c r="C29" s="313"/>
      <c r="D29" s="643"/>
      <c r="E29" s="633"/>
      <c r="F29" s="633"/>
      <c r="G29" s="633"/>
      <c r="H29" s="633"/>
      <c r="I29" s="633"/>
      <c r="J29" s="633"/>
      <c r="K29" s="633"/>
      <c r="L29" s="633"/>
      <c r="M29" s="633"/>
      <c r="N29" s="634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</row>
    <row r="30" spans="1:32">
      <c r="A30" s="313"/>
      <c r="B30" s="313"/>
      <c r="C30" s="313"/>
      <c r="D30" s="644"/>
      <c r="E30" s="438"/>
      <c r="F30" s="438"/>
      <c r="G30" s="438"/>
      <c r="H30" s="438"/>
      <c r="I30" s="438"/>
      <c r="J30" s="438"/>
      <c r="K30" s="438"/>
      <c r="L30" s="438"/>
      <c r="M30" s="438"/>
      <c r="N30" s="439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E30" s="313"/>
      <c r="AF30" s="313"/>
    </row>
    <row r="31" spans="1:32">
      <c r="A31" s="313"/>
      <c r="B31" s="313"/>
      <c r="C31" s="313"/>
      <c r="D31" s="657" t="s">
        <v>690</v>
      </c>
      <c r="E31" s="659" t="s">
        <v>691</v>
      </c>
      <c r="F31" s="659"/>
      <c r="G31" s="659"/>
      <c r="H31" s="659"/>
      <c r="I31" s="659"/>
      <c r="J31" s="659"/>
      <c r="K31" s="659"/>
      <c r="L31" s="659"/>
      <c r="M31" s="659"/>
      <c r="N31" s="660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</row>
    <row r="32" spans="1:32">
      <c r="A32" s="313"/>
      <c r="B32" s="313"/>
      <c r="C32" s="313"/>
      <c r="D32" s="657"/>
      <c r="E32" s="659"/>
      <c r="F32" s="659"/>
      <c r="G32" s="659"/>
      <c r="H32" s="659"/>
      <c r="I32" s="659"/>
      <c r="J32" s="659"/>
      <c r="K32" s="659"/>
      <c r="L32" s="659"/>
      <c r="M32" s="659"/>
      <c r="N32" s="660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</row>
    <row r="33" spans="1:32">
      <c r="A33" s="313"/>
      <c r="B33" s="313"/>
      <c r="C33" s="313"/>
      <c r="D33" s="657"/>
      <c r="E33" s="661" t="s">
        <v>693</v>
      </c>
      <c r="F33" s="661"/>
      <c r="G33" s="661"/>
      <c r="H33" s="661"/>
      <c r="I33" s="661"/>
      <c r="J33" s="661"/>
      <c r="K33" s="661"/>
      <c r="L33" s="661"/>
      <c r="M33" s="661"/>
      <c r="N33" s="662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</row>
    <row r="34" spans="1:32" ht="31.5" customHeight="1">
      <c r="A34" s="313"/>
      <c r="B34" s="313"/>
      <c r="C34" s="313"/>
      <c r="D34" s="657"/>
      <c r="E34" s="661"/>
      <c r="F34" s="661"/>
      <c r="G34" s="661"/>
      <c r="H34" s="661"/>
      <c r="I34" s="661"/>
      <c r="J34" s="661"/>
      <c r="K34" s="661"/>
      <c r="L34" s="661"/>
      <c r="M34" s="661"/>
      <c r="N34" s="662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</row>
    <row r="35" spans="1:32">
      <c r="A35" s="313"/>
      <c r="B35" s="313"/>
      <c r="C35" s="313"/>
      <c r="D35" s="657"/>
      <c r="E35" s="663" t="s">
        <v>692</v>
      </c>
      <c r="F35" s="663"/>
      <c r="G35" s="663"/>
      <c r="H35" s="663"/>
      <c r="I35" s="663"/>
      <c r="J35" s="663"/>
      <c r="K35" s="663"/>
      <c r="L35" s="663"/>
      <c r="M35" s="663"/>
      <c r="N35" s="664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</row>
    <row r="36" spans="1:32">
      <c r="A36" s="313"/>
      <c r="B36" s="313"/>
      <c r="C36" s="313"/>
      <c r="D36" s="657"/>
      <c r="E36" s="663"/>
      <c r="F36" s="663"/>
      <c r="G36" s="663"/>
      <c r="H36" s="663"/>
      <c r="I36" s="663"/>
      <c r="J36" s="663"/>
      <c r="K36" s="663"/>
      <c r="L36" s="663"/>
      <c r="M36" s="663"/>
      <c r="N36" s="664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  <c r="AE36" s="313"/>
      <c r="AF36" s="313"/>
    </row>
    <row r="37" spans="1:32" ht="19.5" thickBot="1">
      <c r="A37" s="313"/>
      <c r="B37" s="313"/>
      <c r="C37" s="313"/>
      <c r="D37" s="658"/>
      <c r="E37" s="665"/>
      <c r="F37" s="666"/>
      <c r="G37" s="666"/>
      <c r="H37" s="666"/>
      <c r="I37" s="666"/>
      <c r="J37" s="666"/>
      <c r="K37" s="666"/>
      <c r="L37" s="666"/>
      <c r="M37" s="666"/>
      <c r="N37" s="667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</row>
    <row r="38" spans="1:32">
      <c r="A38" s="313"/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</row>
    <row r="39" spans="1:32">
      <c r="A39" s="313"/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</row>
    <row r="40" spans="1:32">
      <c r="A40" s="313"/>
      <c r="B40" s="313"/>
      <c r="C40" s="313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</row>
  </sheetData>
  <sheetProtection algorithmName="SHA-512" hashValue="xHQ9IZ+/y3PgBHo1TaewxWpzKCxU5mv0KQqkkRJzLcA6Rxn3yDShHTqnyqgCkn48Sdmk1fBhq7AwamafeVkMKA==" saltValue="j0XOvgZeeapwxYZqBOQuJg==" spinCount="100000" sheet="1" selectLockedCells="1"/>
  <mergeCells count="22">
    <mergeCell ref="D31:D37"/>
    <mergeCell ref="E31:N32"/>
    <mergeCell ref="E33:N34"/>
    <mergeCell ref="E35:N36"/>
    <mergeCell ref="E37:N37"/>
    <mergeCell ref="D3:D5"/>
    <mergeCell ref="J3:N5"/>
    <mergeCell ref="E7:N8"/>
    <mergeCell ref="D7:D8"/>
    <mergeCell ref="E9:N10"/>
    <mergeCell ref="D9:D13"/>
    <mergeCell ref="E11:N12"/>
    <mergeCell ref="E14:N15"/>
    <mergeCell ref="E16:N17"/>
    <mergeCell ref="D14:D18"/>
    <mergeCell ref="E21:N22"/>
    <mergeCell ref="E24:N25"/>
    <mergeCell ref="E26:N27"/>
    <mergeCell ref="E28:N29"/>
    <mergeCell ref="E19:N20"/>
    <mergeCell ref="D19:D23"/>
    <mergeCell ref="D24:D30"/>
  </mergeCells>
  <hyperlinks>
    <hyperlink ref="D14:D17" location="'2-Manifold (Full Length)'!Print_Area" display="2-Manifold (Full Length)" xr:uid="{00000000-0004-0000-0000-000000000000}"/>
    <hyperlink ref="D9:D12" location="'1-Manifold (Full Length)'!Print_Area" display="1-Manifold (Full Length)" xr:uid="{00000000-0004-0000-0000-000001000000}"/>
    <hyperlink ref="D24:D29" location="'2-Manifold (Variable Length)'!Print_Area" display="2-Manifold (Variable Length)" xr:uid="{00000000-0004-0000-0000-000002000000}"/>
    <hyperlink ref="D7:D8" location="'0-Manifold'!Print_Area" display="0-Manifold" xr:uid="{00000000-0004-0000-0000-000003000000}"/>
    <hyperlink ref="D19:D23" location="'1-Manifold (Variable Length)'!Print_Area" display="1-Manifold (Variable Length)" xr:uid="{00000000-0004-0000-0000-000004000000}"/>
    <hyperlink ref="D31:D36" location="'2-Manifold (Variable Length)'!Print_Area" display="2-Manifold (Variable Length)" xr:uid="{2867CCC1-38DF-40CA-A5A0-31D533E27B00}"/>
    <hyperlink ref="D31:D37" location="'3-Stage Storage'!A1" display="3-Stage Storage" xr:uid="{7C686707-4D00-492A-B90C-8CA8B174F861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/>
  <dimension ref="A1:AQ307"/>
  <sheetViews>
    <sheetView workbookViewId="0">
      <selection activeCell="O31" sqref="O31"/>
    </sheetView>
  </sheetViews>
  <sheetFormatPr defaultRowHeight="15"/>
  <cols>
    <col min="1" max="3" width="9.140625" style="82"/>
    <col min="4" max="4" width="10.5703125" style="82" customWidth="1"/>
    <col min="5" max="5" width="13.42578125" style="82" customWidth="1"/>
    <col min="6" max="6" width="11.5703125" style="82" customWidth="1"/>
    <col min="7" max="7" width="10.42578125" style="82" customWidth="1"/>
    <col min="8" max="8" width="9.85546875" style="82" customWidth="1"/>
    <col min="9" max="9" width="13.7109375" style="82" customWidth="1"/>
    <col min="10" max="10" width="13.5703125" style="82" customWidth="1"/>
    <col min="11" max="11" width="11.5703125" style="82" customWidth="1"/>
    <col min="12" max="12" width="10.7109375" style="82" customWidth="1"/>
    <col min="13" max="13" width="12" style="82" customWidth="1"/>
    <col min="14" max="14" width="16.7109375" style="82" customWidth="1"/>
    <col min="15" max="34" width="9.140625" style="82"/>
    <col min="35" max="43" width="12.7109375" style="82" customWidth="1"/>
    <col min="44" max="16384" width="9.140625" style="82"/>
  </cols>
  <sheetData>
    <row r="1" spans="1:43" ht="15.75" thickBot="1">
      <c r="A1" s="83">
        <v>1</v>
      </c>
      <c r="B1" s="84">
        <v>1</v>
      </c>
      <c r="C1" s="84">
        <v>2</v>
      </c>
      <c r="D1" s="84">
        <v>3</v>
      </c>
      <c r="E1" s="84">
        <v>4</v>
      </c>
      <c r="F1" s="84">
        <v>5</v>
      </c>
      <c r="G1" s="84">
        <v>6</v>
      </c>
      <c r="H1" s="84">
        <v>7</v>
      </c>
      <c r="I1" s="84">
        <v>8</v>
      </c>
      <c r="J1" s="84">
        <v>9</v>
      </c>
      <c r="K1" s="84">
        <v>10</v>
      </c>
      <c r="L1" s="84">
        <v>11</v>
      </c>
      <c r="M1" s="84">
        <v>12</v>
      </c>
      <c r="N1" s="84">
        <v>13</v>
      </c>
      <c r="O1" s="84">
        <v>14</v>
      </c>
      <c r="AC1"/>
      <c r="AD1"/>
      <c r="AE1" s="289">
        <f>IF('1-Manifold (Variable Length)'!$C$8&gt;=A1,A1,'1-Manifold (Variable Length)'!$C$8)</f>
        <v>1</v>
      </c>
      <c r="AF1" s="289">
        <f>IF('2-Manifold (Variable Length)'!$C$8&gt;=A1,A1,'2-Manifold (Variable Length)'!$C$8)</f>
        <v>1</v>
      </c>
      <c r="AI1" s="625">
        <v>1</v>
      </c>
      <c r="AJ1" s="625">
        <v>2</v>
      </c>
      <c r="AK1" s="625">
        <v>3</v>
      </c>
      <c r="AL1" s="625">
        <v>4</v>
      </c>
      <c r="AM1" s="625">
        <v>5</v>
      </c>
      <c r="AN1" s="625">
        <v>6</v>
      </c>
      <c r="AO1" s="625">
        <v>7</v>
      </c>
      <c r="AP1" s="625">
        <v>8</v>
      </c>
      <c r="AQ1" s="625">
        <v>9</v>
      </c>
    </row>
    <row r="2" spans="1:43" ht="15" customHeight="1">
      <c r="A2" s="83">
        <v>2</v>
      </c>
      <c r="B2" s="86"/>
      <c r="C2" s="86"/>
      <c r="D2" s="86" t="s">
        <v>49</v>
      </c>
      <c r="E2" s="86" t="s">
        <v>50</v>
      </c>
      <c r="F2" s="86" t="s">
        <v>51</v>
      </c>
      <c r="G2" s="86" t="s">
        <v>52</v>
      </c>
      <c r="H2" s="86" t="s">
        <v>53</v>
      </c>
      <c r="I2" s="86" t="s">
        <v>54</v>
      </c>
      <c r="J2" s="86" t="s">
        <v>55</v>
      </c>
      <c r="K2" s="86" t="s">
        <v>56</v>
      </c>
      <c r="L2" s="86" t="s">
        <v>57</v>
      </c>
      <c r="M2" s="86" t="s">
        <v>51</v>
      </c>
      <c r="N2" s="86" t="s">
        <v>51</v>
      </c>
      <c r="O2" s="441" t="s">
        <v>701</v>
      </c>
      <c r="AC2"/>
      <c r="AD2"/>
      <c r="AE2" s="289">
        <f>IF('1-Manifold (Variable Length)'!$C$8&gt;=A2,A2,'1-Manifold (Variable Length)'!$C$8)</f>
        <v>2</v>
      </c>
      <c r="AF2" s="289">
        <f>IF('2-Manifold (Variable Length)'!$C$8&gt;=A2,A2,'2-Manifold (Variable Length)'!$C$8)</f>
        <v>2</v>
      </c>
      <c r="AH2" s="385"/>
      <c r="AI2" s="158" t="s">
        <v>669</v>
      </c>
      <c r="AJ2" s="433" t="s">
        <v>686</v>
      </c>
      <c r="AK2" s="433" t="s">
        <v>686</v>
      </c>
      <c r="AL2" s="384" t="s">
        <v>674</v>
      </c>
      <c r="AM2" s="384" t="s">
        <v>674</v>
      </c>
      <c r="AN2" s="613" t="s">
        <v>676</v>
      </c>
      <c r="AO2" s="613" t="s">
        <v>676</v>
      </c>
      <c r="AP2" s="384" t="s">
        <v>1179</v>
      </c>
      <c r="AQ2" s="384" t="s">
        <v>1179</v>
      </c>
    </row>
    <row r="3" spans="1:43" ht="15.75" thickBot="1">
      <c r="A3" s="83">
        <v>3</v>
      </c>
      <c r="B3" s="86"/>
      <c r="C3" s="86"/>
      <c r="D3" s="86" t="s">
        <v>58</v>
      </c>
      <c r="E3" s="86" t="s">
        <v>59</v>
      </c>
      <c r="F3" s="86" t="s">
        <v>59</v>
      </c>
      <c r="G3" s="86" t="s">
        <v>60</v>
      </c>
      <c r="H3" s="86" t="s">
        <v>60</v>
      </c>
      <c r="I3" s="86" t="s">
        <v>61</v>
      </c>
      <c r="J3" s="86" t="s">
        <v>62</v>
      </c>
      <c r="K3" s="86" t="s">
        <v>60</v>
      </c>
      <c r="L3" s="86" t="s">
        <v>60</v>
      </c>
      <c r="M3" s="86" t="s">
        <v>63</v>
      </c>
      <c r="N3" s="86" t="s">
        <v>64</v>
      </c>
      <c r="O3" s="441" t="s">
        <v>702</v>
      </c>
      <c r="T3" s="82" t="s">
        <v>713</v>
      </c>
      <c r="AE3" s="289">
        <f>IF('1-Manifold (Variable Length)'!$C$8&gt;=A3,A3,'1-Manifold (Variable Length)'!$C$8)</f>
        <v>3</v>
      </c>
      <c r="AF3" s="289">
        <f>IF('2-Manifold (Variable Length)'!$C$8&gt;=A3,A3,'2-Manifold (Variable Length)'!$C$8)</f>
        <v>3</v>
      </c>
      <c r="AH3" s="385"/>
      <c r="AI3" s="387" t="s">
        <v>60</v>
      </c>
      <c r="AJ3" s="388" t="s">
        <v>673</v>
      </c>
      <c r="AK3" s="388" t="s">
        <v>677</v>
      </c>
      <c r="AL3" s="388" t="s">
        <v>673</v>
      </c>
      <c r="AM3" s="388" t="s">
        <v>677</v>
      </c>
      <c r="AN3" s="388" t="s">
        <v>673</v>
      </c>
      <c r="AO3" s="388" t="s">
        <v>677</v>
      </c>
      <c r="AP3" s="388" t="s">
        <v>673</v>
      </c>
      <c r="AQ3" s="388" t="s">
        <v>677</v>
      </c>
    </row>
    <row r="4" spans="1:43">
      <c r="A4" s="83">
        <v>4</v>
      </c>
      <c r="B4" s="84">
        <v>1</v>
      </c>
      <c r="C4" s="119" t="s">
        <v>683</v>
      </c>
      <c r="D4" s="119">
        <v>14.9</v>
      </c>
      <c r="E4" s="119">
        <v>85.4</v>
      </c>
      <c r="F4" s="434">
        <v>6</v>
      </c>
      <c r="G4" s="428">
        <v>33.9</v>
      </c>
      <c r="H4" s="428">
        <v>15.9</v>
      </c>
      <c r="I4" s="428">
        <v>6</v>
      </c>
      <c r="J4" s="428">
        <v>12</v>
      </c>
      <c r="K4" s="428">
        <v>6</v>
      </c>
      <c r="L4" s="87">
        <v>6</v>
      </c>
      <c r="M4" s="434">
        <v>0.5</v>
      </c>
      <c r="N4" s="428">
        <v>12</v>
      </c>
      <c r="O4" s="120">
        <v>2.85</v>
      </c>
      <c r="Q4" s="84">
        <v>1</v>
      </c>
      <c r="R4" s="857" t="s">
        <v>718</v>
      </c>
      <c r="S4" s="857"/>
      <c r="T4" s="119">
        <v>32</v>
      </c>
      <c r="AE4" s="289">
        <f>IF('1-Manifold (Variable Length)'!$C$8&gt;=A4,A4,'1-Manifold (Variable Length)'!$C$8)</f>
        <v>4</v>
      </c>
      <c r="AF4" s="289">
        <f>IF('2-Manifold (Variable Length)'!$C$8&gt;=A4,A4,'2-Manifold (Variable Length)'!$C$8)</f>
        <v>4</v>
      </c>
      <c r="AH4" s="386">
        <v>1</v>
      </c>
      <c r="AI4" s="389">
        <v>0</v>
      </c>
      <c r="AJ4" s="620">
        <v>0</v>
      </c>
      <c r="AK4" s="620">
        <v>0</v>
      </c>
      <c r="AL4" s="390">
        <v>0</v>
      </c>
      <c r="AM4" s="391">
        <v>0</v>
      </c>
      <c r="AN4" s="391">
        <v>0</v>
      </c>
      <c r="AO4" s="391">
        <v>0</v>
      </c>
      <c r="AP4" s="391">
        <v>0</v>
      </c>
      <c r="AQ4" s="329">
        <v>0</v>
      </c>
    </row>
    <row r="5" spans="1:43">
      <c r="A5" s="83">
        <v>5</v>
      </c>
      <c r="B5" s="84">
        <v>2</v>
      </c>
      <c r="C5" s="86" t="s">
        <v>11</v>
      </c>
      <c r="D5" s="86">
        <v>46.4</v>
      </c>
      <c r="E5" s="87">
        <v>84.9</v>
      </c>
      <c r="F5" s="88">
        <v>10.08</v>
      </c>
      <c r="G5" s="87">
        <v>51</v>
      </c>
      <c r="H5" s="87">
        <v>29.7</v>
      </c>
      <c r="I5" s="86">
        <v>6</v>
      </c>
      <c r="J5" s="86">
        <v>12</v>
      </c>
      <c r="K5" s="86">
        <v>6</v>
      </c>
      <c r="L5" s="87">
        <v>6</v>
      </c>
      <c r="M5" s="88">
        <v>2.73</v>
      </c>
      <c r="N5" s="86">
        <v>12</v>
      </c>
      <c r="O5" s="526">
        <v>2.66</v>
      </c>
      <c r="Q5" s="84">
        <v>2</v>
      </c>
      <c r="R5" s="857" t="s">
        <v>719</v>
      </c>
      <c r="S5" s="857"/>
      <c r="T5" s="119">
        <v>40</v>
      </c>
      <c r="AE5" s="289">
        <f>IF('1-Manifold (Variable Length)'!$C$8&gt;=A5,A5,'1-Manifold (Variable Length)'!$C$8)</f>
        <v>5</v>
      </c>
      <c r="AF5" s="289">
        <f>IF('2-Manifold (Variable Length)'!$C$8&gt;=A5,A5,'2-Manifold (Variable Length)'!$C$8)</f>
        <v>5</v>
      </c>
      <c r="AH5" s="386">
        <v>2</v>
      </c>
      <c r="AI5" s="392">
        <v>1</v>
      </c>
      <c r="AJ5" s="621">
        <v>0</v>
      </c>
      <c r="AK5" s="621">
        <v>0</v>
      </c>
      <c r="AL5" s="393">
        <v>0</v>
      </c>
      <c r="AM5" s="394">
        <v>0</v>
      </c>
      <c r="AN5" s="394">
        <v>0</v>
      </c>
      <c r="AO5" s="394">
        <v>0</v>
      </c>
      <c r="AP5" s="394">
        <v>0</v>
      </c>
      <c r="AQ5" s="335">
        <v>0</v>
      </c>
    </row>
    <row r="6" spans="1:43">
      <c r="A6" s="84">
        <v>6</v>
      </c>
      <c r="B6" s="84">
        <v>3</v>
      </c>
      <c r="C6" s="435" t="s">
        <v>65</v>
      </c>
      <c r="D6" s="435">
        <v>113.6</v>
      </c>
      <c r="E6" s="87">
        <v>85.3</v>
      </c>
      <c r="F6" s="88">
        <v>22.1</v>
      </c>
      <c r="G6" s="87">
        <v>77.8</v>
      </c>
      <c r="H6" s="87">
        <v>45.5</v>
      </c>
      <c r="I6" s="435">
        <v>8</v>
      </c>
      <c r="J6" s="435">
        <v>12</v>
      </c>
      <c r="K6" s="435">
        <v>9</v>
      </c>
      <c r="L6" s="87">
        <v>11.5</v>
      </c>
      <c r="M6" s="88">
        <v>15.3</v>
      </c>
      <c r="N6" s="435">
        <v>12</v>
      </c>
      <c r="O6" s="526">
        <v>2.85</v>
      </c>
      <c r="Q6" s="84">
        <v>3</v>
      </c>
      <c r="R6" s="857" t="s">
        <v>720</v>
      </c>
      <c r="S6" s="857"/>
      <c r="T6" s="119">
        <v>25</v>
      </c>
      <c r="AE6" s="289">
        <f>IF('1-Manifold (Variable Length)'!$C$8&gt;=A6,A6,'1-Manifold (Variable Length)'!$C$8)</f>
        <v>6</v>
      </c>
      <c r="AF6" s="289">
        <f>IF('2-Manifold (Variable Length)'!$C$8&gt;=A6,A6,'2-Manifold (Variable Length)'!$C$8)</f>
        <v>6</v>
      </c>
      <c r="AH6" s="386">
        <v>3</v>
      </c>
      <c r="AI6" s="392">
        <v>2</v>
      </c>
      <c r="AJ6" s="621">
        <v>0</v>
      </c>
      <c r="AK6" s="621">
        <v>0</v>
      </c>
      <c r="AL6" s="393">
        <v>0</v>
      </c>
      <c r="AM6" s="394">
        <v>0</v>
      </c>
      <c r="AN6" s="394">
        <v>0</v>
      </c>
      <c r="AO6" s="394">
        <v>0</v>
      </c>
      <c r="AP6" s="394">
        <v>0</v>
      </c>
      <c r="AQ6" s="335">
        <v>0</v>
      </c>
    </row>
    <row r="7" spans="1:43">
      <c r="A7" s="84">
        <v>7</v>
      </c>
      <c r="B7" s="84">
        <v>4</v>
      </c>
      <c r="C7" s="86" t="s">
        <v>694</v>
      </c>
      <c r="D7" s="86">
        <v>109.7</v>
      </c>
      <c r="E7" s="87">
        <v>48.3</v>
      </c>
      <c r="F7" s="88">
        <v>32.4</v>
      </c>
      <c r="G7" s="87">
        <v>100.5</v>
      </c>
      <c r="H7" s="87">
        <v>59.5</v>
      </c>
      <c r="I7" s="86">
        <v>9</v>
      </c>
      <c r="J7" s="86">
        <v>12</v>
      </c>
      <c r="K7" s="86">
        <v>9</v>
      </c>
      <c r="L7" s="87">
        <v>12</v>
      </c>
      <c r="M7" s="88">
        <v>39.6</v>
      </c>
      <c r="N7" s="86">
        <v>12</v>
      </c>
      <c r="O7" s="120">
        <v>5.95</v>
      </c>
      <c r="AE7" s="289">
        <f>IF('1-Manifold (Variable Length)'!$C$8&gt;=A7,A7,'1-Manifold (Variable Length)'!$C$8)</f>
        <v>7</v>
      </c>
      <c r="AF7" s="289">
        <f>IF('2-Manifold (Variable Length)'!$C$8&gt;=A7,A7,'2-Manifold (Variable Length)'!$C$8)</f>
        <v>6</v>
      </c>
      <c r="AH7" s="386">
        <v>4</v>
      </c>
      <c r="AI7" s="392">
        <v>3</v>
      </c>
      <c r="AJ7" s="621">
        <v>0</v>
      </c>
      <c r="AK7" s="621">
        <v>0</v>
      </c>
      <c r="AL7" s="393">
        <v>0</v>
      </c>
      <c r="AM7" s="394">
        <v>0</v>
      </c>
      <c r="AN7" s="394">
        <v>0</v>
      </c>
      <c r="AO7" s="394">
        <v>0</v>
      </c>
      <c r="AP7" s="394">
        <v>0</v>
      </c>
      <c r="AQ7" s="335">
        <v>0</v>
      </c>
    </row>
    <row r="8" spans="1:43">
      <c r="A8" s="84">
        <v>8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AE8" s="289">
        <f>IF('1-Manifold (Variable Length)'!$C$8&gt;=A8,A8,'1-Manifold (Variable Length)'!$C$8)</f>
        <v>8</v>
      </c>
      <c r="AF8" s="289">
        <f>IF('2-Manifold (Variable Length)'!$C$8&gt;=A8,A8,'2-Manifold (Variable Length)'!$C$8)</f>
        <v>6</v>
      </c>
      <c r="AH8" s="386">
        <v>5</v>
      </c>
      <c r="AI8" s="392">
        <v>4</v>
      </c>
      <c r="AJ8" s="621">
        <v>0</v>
      </c>
      <c r="AK8" s="621">
        <v>0</v>
      </c>
      <c r="AL8" s="393">
        <v>0</v>
      </c>
      <c r="AM8" s="394">
        <v>0</v>
      </c>
      <c r="AN8" s="394">
        <v>0</v>
      </c>
      <c r="AO8" s="394">
        <v>0</v>
      </c>
      <c r="AP8" s="394">
        <v>0</v>
      </c>
      <c r="AQ8" s="335">
        <v>0</v>
      </c>
    </row>
    <row r="9" spans="1:43" ht="15.75" thickBot="1">
      <c r="A9" s="84">
        <v>9</v>
      </c>
      <c r="B9" s="858" t="s">
        <v>161</v>
      </c>
      <c r="C9" s="858"/>
      <c r="D9" s="155">
        <v>1</v>
      </c>
      <c r="E9" s="156">
        <v>2</v>
      </c>
      <c r="F9" s="156">
        <v>3</v>
      </c>
      <c r="G9" s="156">
        <v>4</v>
      </c>
      <c r="H9" s="156">
        <v>5</v>
      </c>
      <c r="I9" s="156">
        <v>6</v>
      </c>
      <c r="J9" s="156">
        <v>7</v>
      </c>
      <c r="K9" s="156">
        <v>8</v>
      </c>
      <c r="L9" s="156">
        <v>9</v>
      </c>
      <c r="M9" s="156">
        <v>10</v>
      </c>
      <c r="N9" s="156">
        <v>11</v>
      </c>
      <c r="O9" s="156">
        <v>12</v>
      </c>
      <c r="P9" s="156">
        <v>13</v>
      </c>
      <c r="Q9" s="155">
        <v>1</v>
      </c>
      <c r="R9" s="156">
        <v>2</v>
      </c>
      <c r="S9" s="156">
        <v>3</v>
      </c>
      <c r="T9" s="156">
        <v>4</v>
      </c>
      <c r="U9" s="156">
        <v>5</v>
      </c>
      <c r="V9" s="156">
        <v>6</v>
      </c>
      <c r="W9" s="156">
        <v>7</v>
      </c>
      <c r="X9" s="156">
        <v>8</v>
      </c>
      <c r="Y9" s="156">
        <v>9</v>
      </c>
      <c r="Z9" s="156">
        <v>10</v>
      </c>
      <c r="AA9" s="156">
        <v>11</v>
      </c>
      <c r="AB9" s="156">
        <v>12</v>
      </c>
      <c r="AC9" s="156">
        <v>13</v>
      </c>
      <c r="AE9" s="289">
        <f>IF('1-Manifold (Variable Length)'!$C$8&gt;=A9,A9,'1-Manifold (Variable Length)'!$C$8)</f>
        <v>9</v>
      </c>
      <c r="AF9" s="289">
        <f>IF('2-Manifold (Variable Length)'!$C$8&gt;=A9,A9,'2-Manifold (Variable Length)'!$C$8)</f>
        <v>6</v>
      </c>
      <c r="AH9" s="386">
        <v>6</v>
      </c>
      <c r="AI9" s="392">
        <v>5</v>
      </c>
      <c r="AJ9" s="621">
        <v>0</v>
      </c>
      <c r="AK9" s="621">
        <v>0</v>
      </c>
      <c r="AL9" s="393">
        <v>0</v>
      </c>
      <c r="AM9" s="394">
        <v>0</v>
      </c>
      <c r="AN9" s="394">
        <v>0</v>
      </c>
      <c r="AO9" s="394">
        <v>0</v>
      </c>
      <c r="AP9" s="394">
        <v>0</v>
      </c>
      <c r="AQ9" s="335">
        <v>0</v>
      </c>
    </row>
    <row r="10" spans="1:43" ht="15.75" thickBot="1">
      <c r="A10" s="84">
        <v>10</v>
      </c>
      <c r="B10" s="859" t="s">
        <v>162</v>
      </c>
      <c r="C10" s="859"/>
      <c r="D10"/>
      <c r="E10"/>
      <c r="F10" s="860" t="s">
        <v>11</v>
      </c>
      <c r="G10" s="861"/>
      <c r="H10" s="860" t="s">
        <v>74</v>
      </c>
      <c r="I10" s="862"/>
      <c r="J10" s="862"/>
      <c r="K10" s="861"/>
      <c r="L10" s="860" t="s">
        <v>71</v>
      </c>
      <c r="M10" s="862"/>
      <c r="N10" s="862"/>
      <c r="O10" s="861"/>
      <c r="P10" s="158" t="s">
        <v>147</v>
      </c>
      <c r="Q10"/>
      <c r="R10"/>
      <c r="S10" s="860" t="s">
        <v>65</v>
      </c>
      <c r="T10" s="861"/>
      <c r="U10" s="860" t="s">
        <v>74</v>
      </c>
      <c r="V10" s="862"/>
      <c r="W10" s="862"/>
      <c r="X10" s="861"/>
      <c r="Y10" s="860" t="s">
        <v>71</v>
      </c>
      <c r="Z10" s="862"/>
      <c r="AA10" s="862"/>
      <c r="AB10" s="861"/>
      <c r="AC10" s="158" t="s">
        <v>147</v>
      </c>
      <c r="AE10" s="289">
        <f>IF('1-Manifold (Variable Length)'!$C$8&gt;=A10,A10,'1-Manifold (Variable Length)'!$C$8)</f>
        <v>10</v>
      </c>
      <c r="AF10" s="289">
        <f>IF('2-Manifold (Variable Length)'!$C$8&gt;=A10,A10,'2-Manifold (Variable Length)'!$C$8)</f>
        <v>6</v>
      </c>
      <c r="AH10" s="386">
        <v>7</v>
      </c>
      <c r="AI10" s="392">
        <v>6</v>
      </c>
      <c r="AJ10" s="621">
        <v>0</v>
      </c>
      <c r="AK10" s="621">
        <v>0</v>
      </c>
      <c r="AL10" s="393">
        <v>0</v>
      </c>
      <c r="AM10" s="394">
        <v>0</v>
      </c>
      <c r="AN10" s="394">
        <v>0</v>
      </c>
      <c r="AO10" s="394">
        <v>0</v>
      </c>
      <c r="AP10" s="394">
        <v>0</v>
      </c>
      <c r="AQ10" s="335">
        <v>0</v>
      </c>
    </row>
    <row r="11" spans="1:43" ht="18">
      <c r="A11" s="84">
        <v>11</v>
      </c>
      <c r="B11" s="859" t="s">
        <v>163</v>
      </c>
      <c r="C11" s="859"/>
      <c r="D11"/>
      <c r="E11"/>
      <c r="F11" s="144" t="s">
        <v>67</v>
      </c>
      <c r="G11" s="145" t="s">
        <v>66</v>
      </c>
      <c r="H11" s="144" t="s">
        <v>72</v>
      </c>
      <c r="I11" s="146" t="s">
        <v>73</v>
      </c>
      <c r="J11" s="146" t="s">
        <v>75</v>
      </c>
      <c r="K11" s="145" t="s">
        <v>76</v>
      </c>
      <c r="L11" s="144" t="s">
        <v>72</v>
      </c>
      <c r="M11" s="146" t="s">
        <v>73</v>
      </c>
      <c r="N11" s="146" t="s">
        <v>75</v>
      </c>
      <c r="O11" s="145" t="s">
        <v>76</v>
      </c>
      <c r="P11" s="159" t="s">
        <v>52</v>
      </c>
      <c r="Q11" s="105"/>
      <c r="R11"/>
      <c r="S11" s="132" t="s">
        <v>67</v>
      </c>
      <c r="T11" s="134" t="s">
        <v>66</v>
      </c>
      <c r="U11" s="132" t="s">
        <v>72</v>
      </c>
      <c r="V11" s="133" t="s">
        <v>73</v>
      </c>
      <c r="W11" s="133" t="s">
        <v>75</v>
      </c>
      <c r="X11" s="134" t="s">
        <v>76</v>
      </c>
      <c r="Y11" s="132" t="s">
        <v>72</v>
      </c>
      <c r="Z11" s="133" t="s">
        <v>73</v>
      </c>
      <c r="AA11" s="133" t="s">
        <v>75</v>
      </c>
      <c r="AB11" s="134" t="s">
        <v>76</v>
      </c>
      <c r="AC11" s="159" t="s">
        <v>52</v>
      </c>
      <c r="AE11" s="289">
        <f>IF('1-Manifold (Variable Length)'!$C$8&gt;=A11,A11,'1-Manifold (Variable Length)'!$C$8)</f>
        <v>10</v>
      </c>
      <c r="AF11" s="289">
        <f>IF('2-Manifold (Variable Length)'!$C$8&gt;=A11,A11,'2-Manifold (Variable Length)'!$C$8)</f>
        <v>6</v>
      </c>
      <c r="AH11" s="386">
        <v>8</v>
      </c>
      <c r="AI11" s="392">
        <v>7</v>
      </c>
      <c r="AJ11" s="621">
        <v>1.41</v>
      </c>
      <c r="AK11" s="621">
        <v>4.2299999999999997E-2</v>
      </c>
      <c r="AL11" s="393">
        <v>2.23</v>
      </c>
      <c r="AM11" s="394">
        <v>0.15</v>
      </c>
      <c r="AN11" s="394">
        <v>0</v>
      </c>
      <c r="AO11" s="394">
        <v>0</v>
      </c>
      <c r="AP11" s="394">
        <v>0</v>
      </c>
      <c r="AQ11" s="335">
        <v>0</v>
      </c>
    </row>
    <row r="12" spans="1:43" ht="15.75" thickBot="1">
      <c r="A12" s="84">
        <v>12</v>
      </c>
      <c r="B12" s="85"/>
      <c r="C12" s="85"/>
      <c r="D12" s="463" t="s">
        <v>734</v>
      </c>
      <c r="E12"/>
      <c r="F12" s="141" t="s">
        <v>60</v>
      </c>
      <c r="G12" s="142" t="s">
        <v>60</v>
      </c>
      <c r="H12" s="141" t="s">
        <v>60</v>
      </c>
      <c r="I12" s="143" t="s">
        <v>60</v>
      </c>
      <c r="J12" s="143" t="s">
        <v>77</v>
      </c>
      <c r="K12" s="142" t="s">
        <v>77</v>
      </c>
      <c r="L12" s="141" t="s">
        <v>60</v>
      </c>
      <c r="M12" s="143" t="s">
        <v>60</v>
      </c>
      <c r="N12" s="143" t="s">
        <v>77</v>
      </c>
      <c r="O12" s="142" t="s">
        <v>77</v>
      </c>
      <c r="P12" s="160" t="s">
        <v>148</v>
      </c>
      <c r="Q12" s="105"/>
      <c r="R12"/>
      <c r="S12" s="141" t="s">
        <v>60</v>
      </c>
      <c r="T12" s="142" t="s">
        <v>60</v>
      </c>
      <c r="U12" s="141" t="s">
        <v>60</v>
      </c>
      <c r="V12" s="143" t="s">
        <v>60</v>
      </c>
      <c r="W12" s="143" t="s">
        <v>77</v>
      </c>
      <c r="X12" s="142" t="s">
        <v>77</v>
      </c>
      <c r="Y12" s="141" t="s">
        <v>60</v>
      </c>
      <c r="Z12" s="143" t="s">
        <v>60</v>
      </c>
      <c r="AA12" s="143" t="s">
        <v>77</v>
      </c>
      <c r="AB12" s="142" t="s">
        <v>77</v>
      </c>
      <c r="AC12" s="160" t="s">
        <v>148</v>
      </c>
      <c r="AE12" s="289">
        <f>IF('1-Manifold (Variable Length)'!$C$8&gt;=A12,A12,'1-Manifold (Variable Length)'!$C$8)</f>
        <v>10</v>
      </c>
      <c r="AF12" s="289">
        <f>IF('2-Manifold (Variable Length)'!$C$8&gt;=A12,A12,'2-Manifold (Variable Length)'!$C$8)</f>
        <v>6</v>
      </c>
      <c r="AH12" s="386">
        <v>9</v>
      </c>
      <c r="AI12" s="392">
        <v>8</v>
      </c>
      <c r="AJ12" s="621">
        <v>2.79</v>
      </c>
      <c r="AK12" s="621">
        <v>8.8599999999999998E-2</v>
      </c>
      <c r="AL12" s="393">
        <v>4.43</v>
      </c>
      <c r="AM12" s="394">
        <v>0.29000000000000004</v>
      </c>
      <c r="AN12" s="394">
        <v>0</v>
      </c>
      <c r="AO12" s="394">
        <v>0</v>
      </c>
      <c r="AP12" s="394">
        <v>0</v>
      </c>
      <c r="AQ12" s="335">
        <v>0</v>
      </c>
    </row>
    <row r="13" spans="1:43">
      <c r="A13" s="84">
        <v>13</v>
      </c>
      <c r="B13" s="85"/>
      <c r="C13" s="85"/>
      <c r="D13" s="107">
        <v>1</v>
      </c>
      <c r="E13" t="s">
        <v>78</v>
      </c>
      <c r="F13" s="135">
        <v>46.25</v>
      </c>
      <c r="G13" s="136">
        <v>36.75</v>
      </c>
      <c r="H13" s="124">
        <v>8</v>
      </c>
      <c r="I13" s="125">
        <v>4</v>
      </c>
      <c r="J13" s="126">
        <f>PI()*(H13/12)^2/4</f>
        <v>0.3490658503988659</v>
      </c>
      <c r="K13" s="127">
        <f>PI()*(I13/12)^2/4</f>
        <v>8.7266462599716474E-2</v>
      </c>
      <c r="L13" s="139">
        <v>9.4</v>
      </c>
      <c r="M13" s="126">
        <v>4.75</v>
      </c>
      <c r="N13" s="126">
        <f>PI()*(L13/12)^2/4</f>
        <v>0.48192903970693424</v>
      </c>
      <c r="O13" s="126">
        <f>PI()*(M13/12)^2/4</f>
        <v>0.12305934765038143</v>
      </c>
      <c r="P13" s="152">
        <f>(IF(1.5*L13+12&gt;=L13+16,1.5*L13+12,L13+16)-L13)/24</f>
        <v>0.69583333333333341</v>
      </c>
      <c r="Q13" s="108">
        <v>1</v>
      </c>
      <c r="R13" t="s">
        <v>78</v>
      </c>
      <c r="S13" s="147">
        <v>46.25</v>
      </c>
      <c r="T13" s="148">
        <v>36.75</v>
      </c>
      <c r="U13" s="149">
        <v>8</v>
      </c>
      <c r="V13" s="150">
        <v>4</v>
      </c>
      <c r="W13" s="151">
        <f>PI()*(U13/12)^2/4</f>
        <v>0.3490658503988659</v>
      </c>
      <c r="X13" s="152">
        <f>PI()*(V13/12)^2/4</f>
        <v>8.7266462599716474E-2</v>
      </c>
      <c r="Y13" s="153">
        <v>9.4</v>
      </c>
      <c r="Z13" s="151">
        <v>4.75</v>
      </c>
      <c r="AA13" s="151">
        <f>PI()*(Y13/12)^2/4</f>
        <v>0.48192903970693424</v>
      </c>
      <c r="AB13" s="151">
        <f>PI()*(Z13/12)^2/4</f>
        <v>0.12305934765038143</v>
      </c>
      <c r="AC13" s="152">
        <f>(IF(1.5*Y13+12&gt;=Y13+16,1.5*Y13+12,Y13+16)-Y13)/24</f>
        <v>0.69583333333333341</v>
      </c>
      <c r="AE13" s="289">
        <f>IF('1-Manifold (Variable Length)'!$C$8&gt;=A13,A13,'1-Manifold (Variable Length)'!$C$8)</f>
        <v>10</v>
      </c>
      <c r="AF13" s="289">
        <f>IF('2-Manifold (Variable Length)'!$C$8&gt;=A13,A13,'2-Manifold (Variable Length)'!$C$8)</f>
        <v>6</v>
      </c>
      <c r="AH13" s="386">
        <v>10</v>
      </c>
      <c r="AI13" s="392">
        <v>9</v>
      </c>
      <c r="AJ13" s="621">
        <v>4.1399999999999997</v>
      </c>
      <c r="AK13" s="621">
        <v>0.13300000000000001</v>
      </c>
      <c r="AL13" s="393">
        <v>6.6</v>
      </c>
      <c r="AM13" s="394">
        <v>0.43000000000000005</v>
      </c>
      <c r="AN13" s="394">
        <v>0</v>
      </c>
      <c r="AO13" s="394">
        <v>0</v>
      </c>
      <c r="AP13" s="394">
        <v>0</v>
      </c>
      <c r="AQ13" s="335">
        <v>0</v>
      </c>
    </row>
    <row r="14" spans="1:43">
      <c r="A14" s="84">
        <v>14</v>
      </c>
      <c r="B14" s="85"/>
      <c r="C14" s="85"/>
      <c r="D14" s="107">
        <v>2</v>
      </c>
      <c r="E14" t="s">
        <v>79</v>
      </c>
      <c r="F14" s="135">
        <v>46</v>
      </c>
      <c r="G14" s="136">
        <v>36.5</v>
      </c>
      <c r="H14" s="124">
        <v>8</v>
      </c>
      <c r="I14" s="125">
        <v>6</v>
      </c>
      <c r="J14" s="126">
        <f t="shared" ref="J14:J61" si="0">PI()*(H14/12)^2/4</f>
        <v>0.3490658503988659</v>
      </c>
      <c r="K14" s="127">
        <f t="shared" ref="K14:K61" si="1">PI()*(I14/12)^2/4</f>
        <v>0.19634954084936207</v>
      </c>
      <c r="L14" s="139">
        <v>9.4</v>
      </c>
      <c r="M14" s="126">
        <v>7.05</v>
      </c>
      <c r="N14" s="126">
        <f t="shared" ref="N14:N61" si="2">PI()*(L14/12)^2/4</f>
        <v>0.48192903970693424</v>
      </c>
      <c r="O14" s="126">
        <f t="shared" ref="O14:O61" si="3">PI()*(M14/12)^2/4</f>
        <v>0.27108508483515054</v>
      </c>
      <c r="P14" s="127">
        <f t="shared" ref="P14:P61" si="4">(IF(1.5*L14+12&gt;=L14+16,1.5*L14+12,L14+16)-L14)/24</f>
        <v>0.69583333333333341</v>
      </c>
      <c r="Q14" s="108">
        <v>2</v>
      </c>
      <c r="R14" t="s">
        <v>79</v>
      </c>
      <c r="S14" s="135">
        <v>46</v>
      </c>
      <c r="T14" s="136">
        <v>36.5</v>
      </c>
      <c r="U14" s="124">
        <v>8</v>
      </c>
      <c r="V14" s="125">
        <v>6</v>
      </c>
      <c r="W14" s="126">
        <f t="shared" ref="W14:W72" si="5">PI()*(U14/12)^2/4</f>
        <v>0.3490658503988659</v>
      </c>
      <c r="X14" s="127">
        <f t="shared" ref="X14:X72" si="6">PI()*(V14/12)^2/4</f>
        <v>0.19634954084936207</v>
      </c>
      <c r="Y14" s="139">
        <v>9.4</v>
      </c>
      <c r="Z14" s="126">
        <v>7.05</v>
      </c>
      <c r="AA14" s="126">
        <f t="shared" ref="AA14:AA72" si="7">PI()*(Y14/12)^2/4</f>
        <v>0.48192903970693424</v>
      </c>
      <c r="AB14" s="126">
        <f t="shared" ref="AB14:AB72" si="8">PI()*(Z14/12)^2/4</f>
        <v>0.27108508483515054</v>
      </c>
      <c r="AC14" s="127">
        <f t="shared" ref="AC14:AC72" si="9">(IF(1.5*Y14+12&gt;=Y14+16,1.5*Y14+12,Y14+16)-Y14)/24</f>
        <v>0.69583333333333341</v>
      </c>
      <c r="AE14" s="289">
        <f>IF('1-Manifold (Variable Length)'!$C$8&gt;=A14,A14,'1-Manifold (Variable Length)'!$C$8)</f>
        <v>10</v>
      </c>
      <c r="AF14" s="289">
        <f>IF('2-Manifold (Variable Length)'!$C$8&gt;=A14,A14,'2-Manifold (Variable Length)'!$C$8)</f>
        <v>6</v>
      </c>
      <c r="AH14" s="386">
        <v>11</v>
      </c>
      <c r="AI14" s="392">
        <v>10</v>
      </c>
      <c r="AJ14" s="621">
        <v>5.45</v>
      </c>
      <c r="AK14" s="621">
        <v>0.17560000000000001</v>
      </c>
      <c r="AL14" s="393">
        <v>8.75</v>
      </c>
      <c r="AM14" s="394">
        <v>0.57000000000000006</v>
      </c>
      <c r="AN14" s="394">
        <v>3.55</v>
      </c>
      <c r="AO14" s="394">
        <v>0.59</v>
      </c>
      <c r="AP14" s="394">
        <v>3.05</v>
      </c>
      <c r="AQ14" s="335">
        <v>0.92</v>
      </c>
    </row>
    <row r="15" spans="1:43">
      <c r="A15" s="84">
        <v>15</v>
      </c>
      <c r="B15" s="85"/>
      <c r="C15" s="85"/>
      <c r="D15" s="107">
        <v>3</v>
      </c>
      <c r="E15" t="s">
        <v>80</v>
      </c>
      <c r="F15" s="135">
        <v>46.5</v>
      </c>
      <c r="G15" s="136">
        <v>37</v>
      </c>
      <c r="H15" s="124">
        <v>8</v>
      </c>
      <c r="I15" s="125">
        <v>8</v>
      </c>
      <c r="J15" s="126">
        <f t="shared" si="0"/>
        <v>0.3490658503988659</v>
      </c>
      <c r="K15" s="127">
        <f t="shared" si="1"/>
        <v>0.3490658503988659</v>
      </c>
      <c r="L15" s="139">
        <v>9.4</v>
      </c>
      <c r="M15" s="126">
        <v>9.4</v>
      </c>
      <c r="N15" s="126">
        <f t="shared" si="2"/>
        <v>0.48192903970693424</v>
      </c>
      <c r="O15" s="126">
        <f t="shared" si="3"/>
        <v>0.48192903970693424</v>
      </c>
      <c r="P15" s="127">
        <f t="shared" si="4"/>
        <v>0.69583333333333341</v>
      </c>
      <c r="Q15" s="108">
        <v>3</v>
      </c>
      <c r="R15" t="s">
        <v>80</v>
      </c>
      <c r="S15" s="135">
        <v>46.5</v>
      </c>
      <c r="T15" s="136">
        <v>37</v>
      </c>
      <c r="U15" s="124">
        <v>8</v>
      </c>
      <c r="V15" s="125">
        <v>8</v>
      </c>
      <c r="W15" s="126">
        <f t="shared" si="5"/>
        <v>0.3490658503988659</v>
      </c>
      <c r="X15" s="127">
        <f t="shared" si="6"/>
        <v>0.3490658503988659</v>
      </c>
      <c r="Y15" s="139">
        <v>9.4</v>
      </c>
      <c r="Z15" s="126">
        <v>9.4</v>
      </c>
      <c r="AA15" s="126">
        <f t="shared" si="7"/>
        <v>0.48192903970693424</v>
      </c>
      <c r="AB15" s="126">
        <f t="shared" si="8"/>
        <v>0.48192903970693424</v>
      </c>
      <c r="AC15" s="127">
        <f t="shared" si="9"/>
        <v>0.69583333333333341</v>
      </c>
      <c r="AE15" s="289">
        <f>IF('1-Manifold (Variable Length)'!$C$8&gt;=A15,A15,'1-Manifold (Variable Length)'!$C$8)</f>
        <v>10</v>
      </c>
      <c r="AF15" s="289">
        <f>IF('2-Manifold (Variable Length)'!$C$8&gt;=A15,A15,'2-Manifold (Variable Length)'!$C$8)</f>
        <v>6</v>
      </c>
      <c r="AH15" s="386">
        <v>12</v>
      </c>
      <c r="AI15" s="392">
        <v>11</v>
      </c>
      <c r="AJ15" s="621">
        <v>6.72</v>
      </c>
      <c r="AK15" s="621">
        <v>0.21629999999999999</v>
      </c>
      <c r="AL15" s="393">
        <v>10.87</v>
      </c>
      <c r="AM15" s="394">
        <v>0.71000000000000008</v>
      </c>
      <c r="AN15" s="394">
        <v>7.06</v>
      </c>
      <c r="AO15" s="394">
        <v>1.17</v>
      </c>
      <c r="AP15" s="394">
        <v>5.51</v>
      </c>
      <c r="AQ15" s="335">
        <v>1.9700000000000002</v>
      </c>
    </row>
    <row r="16" spans="1:43">
      <c r="A16" s="84">
        <v>16</v>
      </c>
      <c r="B16" s="86"/>
      <c r="C16" s="85"/>
      <c r="D16" s="107">
        <v>4</v>
      </c>
      <c r="E16" t="s">
        <v>81</v>
      </c>
      <c r="F16" s="135">
        <v>48.75</v>
      </c>
      <c r="G16" s="136">
        <v>36.75</v>
      </c>
      <c r="H16" s="122">
        <v>10</v>
      </c>
      <c r="I16" s="123">
        <v>4</v>
      </c>
      <c r="J16" s="126">
        <f t="shared" si="0"/>
        <v>0.54541539124822802</v>
      </c>
      <c r="K16" s="127">
        <f t="shared" si="1"/>
        <v>8.7266462599716474E-2</v>
      </c>
      <c r="L16" s="139">
        <v>12</v>
      </c>
      <c r="M16" s="126">
        <v>4.75</v>
      </c>
      <c r="N16" s="126">
        <f t="shared" si="2"/>
        <v>0.78539816339744828</v>
      </c>
      <c r="O16" s="126">
        <f t="shared" si="3"/>
        <v>0.12305934765038143</v>
      </c>
      <c r="P16" s="127">
        <f t="shared" si="4"/>
        <v>0.75</v>
      </c>
      <c r="Q16" s="108">
        <v>4</v>
      </c>
      <c r="R16" t="s">
        <v>81</v>
      </c>
      <c r="S16" s="135">
        <v>48.75</v>
      </c>
      <c r="T16" s="136">
        <v>36.75</v>
      </c>
      <c r="U16" s="122">
        <v>10</v>
      </c>
      <c r="V16" s="123">
        <v>4</v>
      </c>
      <c r="W16" s="126">
        <f t="shared" si="5"/>
        <v>0.54541539124822802</v>
      </c>
      <c r="X16" s="127">
        <f t="shared" si="6"/>
        <v>8.7266462599716474E-2</v>
      </c>
      <c r="Y16" s="139">
        <v>12</v>
      </c>
      <c r="Z16" s="126">
        <v>4.75</v>
      </c>
      <c r="AA16" s="126">
        <f t="shared" si="7"/>
        <v>0.78539816339744828</v>
      </c>
      <c r="AB16" s="126">
        <f t="shared" si="8"/>
        <v>0.12305934765038143</v>
      </c>
      <c r="AC16" s="127">
        <f t="shared" si="9"/>
        <v>0.75</v>
      </c>
      <c r="AE16" s="289">
        <f>IF('1-Manifold (Variable Length)'!$C$8&gt;=A16,A16,'1-Manifold (Variable Length)'!$C$8)</f>
        <v>10</v>
      </c>
      <c r="AF16" s="289">
        <f>IF('2-Manifold (Variable Length)'!$C$8&gt;=A16,A16,'2-Manifold (Variable Length)'!$C$8)</f>
        <v>6</v>
      </c>
      <c r="AH16" s="386">
        <v>13</v>
      </c>
      <c r="AI16" s="392">
        <v>12</v>
      </c>
      <c r="AJ16" s="621">
        <v>7.96</v>
      </c>
      <c r="AK16" s="621">
        <v>0.25490000000000002</v>
      </c>
      <c r="AL16" s="393">
        <v>12.97</v>
      </c>
      <c r="AM16" s="394">
        <v>0.85000000000000009</v>
      </c>
      <c r="AN16" s="394">
        <v>10.55</v>
      </c>
      <c r="AO16" s="394">
        <v>1.75</v>
      </c>
      <c r="AP16" s="394">
        <v>7.96</v>
      </c>
      <c r="AQ16" s="335">
        <v>3.0100000000000002</v>
      </c>
    </row>
    <row r="17" spans="1:43">
      <c r="A17" s="84">
        <v>17</v>
      </c>
      <c r="B17" s="86"/>
      <c r="C17" s="85"/>
      <c r="D17" s="107">
        <v>5</v>
      </c>
      <c r="E17" t="s">
        <v>82</v>
      </c>
      <c r="F17" s="135">
        <v>48.5</v>
      </c>
      <c r="G17" s="136">
        <v>36.5</v>
      </c>
      <c r="H17" s="122">
        <v>10</v>
      </c>
      <c r="I17" s="123">
        <v>6</v>
      </c>
      <c r="J17" s="126">
        <f t="shared" si="0"/>
        <v>0.54541539124822802</v>
      </c>
      <c r="K17" s="127">
        <f t="shared" si="1"/>
        <v>0.19634954084936207</v>
      </c>
      <c r="L17" s="139">
        <v>12</v>
      </c>
      <c r="M17" s="126">
        <v>7.05</v>
      </c>
      <c r="N17" s="126">
        <f t="shared" si="2"/>
        <v>0.78539816339744828</v>
      </c>
      <c r="O17" s="126">
        <f t="shared" si="3"/>
        <v>0.27108508483515054</v>
      </c>
      <c r="P17" s="127">
        <f t="shared" si="4"/>
        <v>0.75</v>
      </c>
      <c r="Q17" s="108">
        <v>5</v>
      </c>
      <c r="R17" t="s">
        <v>82</v>
      </c>
      <c r="S17" s="135">
        <v>48.5</v>
      </c>
      <c r="T17" s="136">
        <v>36.5</v>
      </c>
      <c r="U17" s="122">
        <v>10</v>
      </c>
      <c r="V17" s="123">
        <v>6</v>
      </c>
      <c r="W17" s="126">
        <f t="shared" si="5"/>
        <v>0.54541539124822802</v>
      </c>
      <c r="X17" s="127">
        <f t="shared" si="6"/>
        <v>0.19634954084936207</v>
      </c>
      <c r="Y17" s="139">
        <v>12</v>
      </c>
      <c r="Z17" s="126">
        <v>7.05</v>
      </c>
      <c r="AA17" s="126">
        <f t="shared" si="7"/>
        <v>0.78539816339744828</v>
      </c>
      <c r="AB17" s="126">
        <f t="shared" si="8"/>
        <v>0.27108508483515054</v>
      </c>
      <c r="AC17" s="127">
        <f t="shared" si="9"/>
        <v>0.75</v>
      </c>
      <c r="AE17" s="289">
        <f>IF('1-Manifold (Variable Length)'!$C$8&gt;=A17,A17,'1-Manifold (Variable Length)'!$C$8)</f>
        <v>10</v>
      </c>
      <c r="AF17" s="289">
        <f>IF('2-Manifold (Variable Length)'!$C$8&gt;=A17,A17,'2-Manifold (Variable Length)'!$C$8)</f>
        <v>6</v>
      </c>
      <c r="AH17" s="386">
        <v>14</v>
      </c>
      <c r="AI17" s="392">
        <v>13</v>
      </c>
      <c r="AJ17" s="621">
        <v>9.16</v>
      </c>
      <c r="AK17" s="621">
        <v>0.2913</v>
      </c>
      <c r="AL17" s="393">
        <v>15.03</v>
      </c>
      <c r="AM17" s="394">
        <v>0.9900000000000001</v>
      </c>
      <c r="AN17" s="394">
        <v>14.01</v>
      </c>
      <c r="AO17" s="394">
        <v>2.33</v>
      </c>
      <c r="AP17" s="394">
        <v>10.39</v>
      </c>
      <c r="AQ17" s="335">
        <v>4.04</v>
      </c>
    </row>
    <row r="18" spans="1:43">
      <c r="A18" s="84">
        <v>18</v>
      </c>
      <c r="B18" s="86"/>
      <c r="C18" s="85"/>
      <c r="D18" s="107">
        <v>6</v>
      </c>
      <c r="E18" t="s">
        <v>83</v>
      </c>
      <c r="F18" s="135">
        <v>49</v>
      </c>
      <c r="G18" s="136">
        <v>37</v>
      </c>
      <c r="H18" s="122">
        <v>10</v>
      </c>
      <c r="I18" s="123">
        <v>8</v>
      </c>
      <c r="J18" s="126">
        <f t="shared" si="0"/>
        <v>0.54541539124822802</v>
      </c>
      <c r="K18" s="127">
        <f t="shared" si="1"/>
        <v>0.3490658503988659</v>
      </c>
      <c r="L18" s="139">
        <v>12</v>
      </c>
      <c r="M18" s="126">
        <v>9.4</v>
      </c>
      <c r="N18" s="126">
        <f t="shared" si="2"/>
        <v>0.78539816339744828</v>
      </c>
      <c r="O18" s="126">
        <f t="shared" si="3"/>
        <v>0.48192903970693424</v>
      </c>
      <c r="P18" s="127">
        <f t="shared" si="4"/>
        <v>0.75</v>
      </c>
      <c r="Q18" s="108">
        <v>6</v>
      </c>
      <c r="R18" t="s">
        <v>83</v>
      </c>
      <c r="S18" s="135">
        <v>49</v>
      </c>
      <c r="T18" s="136">
        <v>37</v>
      </c>
      <c r="U18" s="122">
        <v>10</v>
      </c>
      <c r="V18" s="123">
        <v>8</v>
      </c>
      <c r="W18" s="126">
        <f t="shared" si="5"/>
        <v>0.54541539124822802</v>
      </c>
      <c r="X18" s="127">
        <f t="shared" si="6"/>
        <v>0.3490658503988659</v>
      </c>
      <c r="Y18" s="139">
        <v>12</v>
      </c>
      <c r="Z18" s="126">
        <v>9.4</v>
      </c>
      <c r="AA18" s="126">
        <f t="shared" si="7"/>
        <v>0.78539816339744828</v>
      </c>
      <c r="AB18" s="126">
        <f t="shared" si="8"/>
        <v>0.48192903970693424</v>
      </c>
      <c r="AC18" s="127">
        <f t="shared" si="9"/>
        <v>0.75</v>
      </c>
      <c r="AE18" s="289">
        <f>IF('1-Manifold (Variable Length)'!$C$8&gt;=A18,A18,'1-Manifold (Variable Length)'!$C$8)</f>
        <v>10</v>
      </c>
      <c r="AF18" s="289">
        <f>IF('2-Manifold (Variable Length)'!$C$8&gt;=A18,A18,'2-Manifold (Variable Length)'!$C$8)</f>
        <v>6</v>
      </c>
      <c r="AH18" s="386">
        <v>15</v>
      </c>
      <c r="AI18" s="392">
        <v>14</v>
      </c>
      <c r="AJ18" s="621">
        <v>10.31</v>
      </c>
      <c r="AK18" s="621">
        <v>0.32530000000000003</v>
      </c>
      <c r="AL18" s="393">
        <v>17.059999999999999</v>
      </c>
      <c r="AM18" s="394">
        <v>1.1200000000000001</v>
      </c>
      <c r="AN18" s="394">
        <v>17.45</v>
      </c>
      <c r="AO18" s="394">
        <v>2.9</v>
      </c>
      <c r="AP18" s="394">
        <v>12.81</v>
      </c>
      <c r="AQ18" s="335">
        <v>5.07</v>
      </c>
    </row>
    <row r="19" spans="1:43">
      <c r="A19" s="84">
        <v>19</v>
      </c>
      <c r="B19" s="86"/>
      <c r="C19" s="85"/>
      <c r="D19" s="107">
        <v>7</v>
      </c>
      <c r="E19" t="s">
        <v>84</v>
      </c>
      <c r="F19" s="135">
        <v>49</v>
      </c>
      <c r="G19" s="136">
        <v>37</v>
      </c>
      <c r="H19" s="122">
        <v>10</v>
      </c>
      <c r="I19" s="123">
        <v>10</v>
      </c>
      <c r="J19" s="126">
        <f t="shared" si="0"/>
        <v>0.54541539124822802</v>
      </c>
      <c r="K19" s="127">
        <f t="shared" si="1"/>
        <v>0.54541539124822802</v>
      </c>
      <c r="L19" s="139">
        <v>12</v>
      </c>
      <c r="M19" s="126">
        <v>12</v>
      </c>
      <c r="N19" s="126">
        <f t="shared" si="2"/>
        <v>0.78539816339744828</v>
      </c>
      <c r="O19" s="126">
        <f t="shared" si="3"/>
        <v>0.78539816339744828</v>
      </c>
      <c r="P19" s="127">
        <f t="shared" si="4"/>
        <v>0.75</v>
      </c>
      <c r="Q19" s="108">
        <v>7</v>
      </c>
      <c r="R19" t="s">
        <v>84</v>
      </c>
      <c r="S19" s="135">
        <v>49</v>
      </c>
      <c r="T19" s="136">
        <v>37</v>
      </c>
      <c r="U19" s="122">
        <v>10</v>
      </c>
      <c r="V19" s="123">
        <v>10</v>
      </c>
      <c r="W19" s="126">
        <f t="shared" si="5"/>
        <v>0.54541539124822802</v>
      </c>
      <c r="X19" s="127">
        <f t="shared" si="6"/>
        <v>0.54541539124822802</v>
      </c>
      <c r="Y19" s="154">
        <v>12</v>
      </c>
      <c r="Z19" s="126">
        <v>12</v>
      </c>
      <c r="AA19" s="126">
        <f t="shared" si="7"/>
        <v>0.78539816339744828</v>
      </c>
      <c r="AB19" s="126">
        <f t="shared" si="8"/>
        <v>0.78539816339744828</v>
      </c>
      <c r="AC19" s="127">
        <f t="shared" si="9"/>
        <v>0.75</v>
      </c>
      <c r="AE19" s="289">
        <f>IF('1-Manifold (Variable Length)'!$C$8&gt;=A19,A19,'1-Manifold (Variable Length)'!$C$8)</f>
        <v>10</v>
      </c>
      <c r="AF19" s="289">
        <f>IF('2-Manifold (Variable Length)'!$C$8&gt;=A19,A19,'2-Manifold (Variable Length)'!$C$8)</f>
        <v>6</v>
      </c>
      <c r="AH19" s="386">
        <v>16</v>
      </c>
      <c r="AI19" s="392">
        <v>15</v>
      </c>
      <c r="AJ19" s="621">
        <v>11.4</v>
      </c>
      <c r="AK19" s="621">
        <v>0.35660000000000003</v>
      </c>
      <c r="AL19" s="393">
        <v>19.07</v>
      </c>
      <c r="AM19" s="394">
        <v>1.25</v>
      </c>
      <c r="AN19" s="394">
        <v>20.85</v>
      </c>
      <c r="AO19" s="394">
        <v>3.46</v>
      </c>
      <c r="AP19" s="394">
        <v>15.22</v>
      </c>
      <c r="AQ19" s="335">
        <v>6.09</v>
      </c>
    </row>
    <row r="20" spans="1:43">
      <c r="A20" s="84">
        <v>20</v>
      </c>
      <c r="B20" s="86"/>
      <c r="C20" s="85"/>
      <c r="D20" s="107">
        <v>8</v>
      </c>
      <c r="E20" t="s">
        <v>85</v>
      </c>
      <c r="F20" s="135">
        <v>51.25</v>
      </c>
      <c r="G20" s="136">
        <v>36.75</v>
      </c>
      <c r="H20" s="122">
        <v>12</v>
      </c>
      <c r="I20" s="123">
        <v>4</v>
      </c>
      <c r="J20" s="126">
        <f t="shared" si="0"/>
        <v>0.78539816339744828</v>
      </c>
      <c r="K20" s="127">
        <f t="shared" si="1"/>
        <v>8.7266462599716474E-2</v>
      </c>
      <c r="L20" s="139">
        <v>14.58</v>
      </c>
      <c r="M20" s="126">
        <v>4.75</v>
      </c>
      <c r="N20" s="126">
        <f t="shared" si="2"/>
        <v>1.1594244037613981</v>
      </c>
      <c r="O20" s="126">
        <f t="shared" si="3"/>
        <v>0.12305934765038143</v>
      </c>
      <c r="P20" s="127">
        <f t="shared" si="4"/>
        <v>0.8037500000000003</v>
      </c>
      <c r="Q20" s="108">
        <v>8</v>
      </c>
      <c r="R20" t="s">
        <v>85</v>
      </c>
      <c r="S20" s="135">
        <v>51.25</v>
      </c>
      <c r="T20" s="136">
        <v>36.75</v>
      </c>
      <c r="U20" s="122">
        <v>12</v>
      </c>
      <c r="V20" s="123">
        <v>4</v>
      </c>
      <c r="W20" s="126">
        <f t="shared" si="5"/>
        <v>0.78539816339744828</v>
      </c>
      <c r="X20" s="127">
        <f t="shared" si="6"/>
        <v>8.7266462599716474E-2</v>
      </c>
      <c r="Y20" s="139">
        <v>14.58</v>
      </c>
      <c r="Z20" s="126">
        <v>4.75</v>
      </c>
      <c r="AA20" s="126">
        <f t="shared" si="7"/>
        <v>1.1594244037613981</v>
      </c>
      <c r="AB20" s="126">
        <f t="shared" si="8"/>
        <v>0.12305934765038143</v>
      </c>
      <c r="AC20" s="127">
        <f t="shared" si="9"/>
        <v>0.8037500000000003</v>
      </c>
      <c r="AE20" s="289">
        <f>IF('1-Manifold (Variable Length)'!$C$8&gt;=A20,A20,'1-Manifold (Variable Length)'!$C$8)</f>
        <v>10</v>
      </c>
      <c r="AF20" s="289">
        <f>IF('2-Manifold (Variable Length)'!$C$8&gt;=A20,A20,'2-Manifold (Variable Length)'!$C$8)</f>
        <v>6</v>
      </c>
      <c r="AH20" s="386">
        <v>17</v>
      </c>
      <c r="AI20" s="392">
        <v>16</v>
      </c>
      <c r="AJ20" s="621">
        <v>12.42</v>
      </c>
      <c r="AK20" s="621">
        <v>0.38500000000000001</v>
      </c>
      <c r="AL20" s="393">
        <v>21.04</v>
      </c>
      <c r="AM20" s="394">
        <v>1.38</v>
      </c>
      <c r="AN20" s="394">
        <v>24.23</v>
      </c>
      <c r="AO20" s="394">
        <v>4.0199999999999996</v>
      </c>
      <c r="AP20" s="394">
        <v>17.62</v>
      </c>
      <c r="AQ20" s="335">
        <v>7.1099999999999994</v>
      </c>
    </row>
    <row r="21" spans="1:43">
      <c r="A21" s="84">
        <v>21</v>
      </c>
      <c r="B21" s="86"/>
      <c r="C21" s="85"/>
      <c r="D21" s="107">
        <v>9</v>
      </c>
      <c r="E21" t="s">
        <v>86</v>
      </c>
      <c r="F21" s="135">
        <v>51</v>
      </c>
      <c r="G21" s="136">
        <v>36.5</v>
      </c>
      <c r="H21" s="122">
        <v>12</v>
      </c>
      <c r="I21" s="123">
        <v>6</v>
      </c>
      <c r="J21" s="126">
        <f t="shared" si="0"/>
        <v>0.78539816339744828</v>
      </c>
      <c r="K21" s="127">
        <f t="shared" si="1"/>
        <v>0.19634954084936207</v>
      </c>
      <c r="L21" s="139">
        <v>14.58</v>
      </c>
      <c r="M21" s="126">
        <v>7.05</v>
      </c>
      <c r="N21" s="126">
        <f t="shared" si="2"/>
        <v>1.1594244037613981</v>
      </c>
      <c r="O21" s="126">
        <f t="shared" si="3"/>
        <v>0.27108508483515054</v>
      </c>
      <c r="P21" s="127">
        <f t="shared" si="4"/>
        <v>0.8037500000000003</v>
      </c>
      <c r="Q21" s="108">
        <v>9</v>
      </c>
      <c r="R21" t="s">
        <v>86</v>
      </c>
      <c r="S21" s="135">
        <v>51</v>
      </c>
      <c r="T21" s="136">
        <v>36.5</v>
      </c>
      <c r="U21" s="122">
        <v>12</v>
      </c>
      <c r="V21" s="123">
        <v>6</v>
      </c>
      <c r="W21" s="126">
        <f t="shared" si="5"/>
        <v>0.78539816339744828</v>
      </c>
      <c r="X21" s="127">
        <f t="shared" si="6"/>
        <v>0.19634954084936207</v>
      </c>
      <c r="Y21" s="139">
        <v>14.58</v>
      </c>
      <c r="Z21" s="126">
        <v>7.05</v>
      </c>
      <c r="AA21" s="126">
        <f t="shared" si="7"/>
        <v>1.1594244037613981</v>
      </c>
      <c r="AB21" s="126">
        <f t="shared" si="8"/>
        <v>0.27108508483515054</v>
      </c>
      <c r="AC21" s="127">
        <f t="shared" si="9"/>
        <v>0.8037500000000003</v>
      </c>
      <c r="AE21" s="289">
        <f>IF('1-Manifold (Variable Length)'!$C$8&gt;=A21,A21,'1-Manifold (Variable Length)'!$C$8)</f>
        <v>10</v>
      </c>
      <c r="AF21" s="289">
        <f>IF('2-Manifold (Variable Length)'!$C$8&gt;=A21,A21,'2-Manifold (Variable Length)'!$C$8)</f>
        <v>6</v>
      </c>
      <c r="AH21" s="386">
        <v>18</v>
      </c>
      <c r="AI21" s="392">
        <v>17</v>
      </c>
      <c r="AJ21" s="621">
        <v>13.34</v>
      </c>
      <c r="AK21" s="621">
        <v>0.41010000000000002</v>
      </c>
      <c r="AL21" s="393">
        <v>22.97</v>
      </c>
      <c r="AM21" s="394">
        <v>1.5</v>
      </c>
      <c r="AN21" s="394">
        <v>27.58</v>
      </c>
      <c r="AO21" s="394">
        <v>4.57</v>
      </c>
      <c r="AP21" s="394">
        <v>20.010000000000002</v>
      </c>
      <c r="AQ21" s="335">
        <v>8.1199999999999992</v>
      </c>
    </row>
    <row r="22" spans="1:43">
      <c r="A22" s="84">
        <v>22</v>
      </c>
      <c r="B22" s="86"/>
      <c r="C22" s="85"/>
      <c r="D22" s="107">
        <v>10</v>
      </c>
      <c r="E22" t="s">
        <v>87</v>
      </c>
      <c r="F22" s="135">
        <v>51.5</v>
      </c>
      <c r="G22" s="136">
        <v>37</v>
      </c>
      <c r="H22" s="122">
        <v>12</v>
      </c>
      <c r="I22" s="123">
        <v>8</v>
      </c>
      <c r="J22" s="126">
        <f t="shared" si="0"/>
        <v>0.78539816339744828</v>
      </c>
      <c r="K22" s="127">
        <f t="shared" si="1"/>
        <v>0.3490658503988659</v>
      </c>
      <c r="L22" s="139">
        <v>14.58</v>
      </c>
      <c r="M22" s="126">
        <v>9.4</v>
      </c>
      <c r="N22" s="126">
        <f t="shared" si="2"/>
        <v>1.1594244037613981</v>
      </c>
      <c r="O22" s="126">
        <f t="shared" si="3"/>
        <v>0.48192903970693424</v>
      </c>
      <c r="P22" s="127">
        <f t="shared" si="4"/>
        <v>0.8037500000000003</v>
      </c>
      <c r="Q22" s="108">
        <v>10</v>
      </c>
      <c r="R22" t="s">
        <v>87</v>
      </c>
      <c r="S22" s="135">
        <v>51.5</v>
      </c>
      <c r="T22" s="136">
        <v>37</v>
      </c>
      <c r="U22" s="122">
        <v>12</v>
      </c>
      <c r="V22" s="123">
        <v>8</v>
      </c>
      <c r="W22" s="126">
        <f t="shared" si="5"/>
        <v>0.78539816339744828</v>
      </c>
      <c r="X22" s="127">
        <f t="shared" si="6"/>
        <v>0.3490658503988659</v>
      </c>
      <c r="Y22" s="139">
        <v>14.58</v>
      </c>
      <c r="Z22" s="126">
        <v>9.4</v>
      </c>
      <c r="AA22" s="126">
        <f t="shared" si="7"/>
        <v>1.1594244037613981</v>
      </c>
      <c r="AB22" s="126">
        <f t="shared" si="8"/>
        <v>0.48192903970693424</v>
      </c>
      <c r="AC22" s="127">
        <f t="shared" si="9"/>
        <v>0.8037500000000003</v>
      </c>
      <c r="AE22" s="289">
        <f>IF('1-Manifold (Variable Length)'!$C$8&gt;=A22,A22,'1-Manifold (Variable Length)'!$C$8)</f>
        <v>10</v>
      </c>
      <c r="AF22" s="289">
        <f>IF('2-Manifold (Variable Length)'!$C$8&gt;=A22,A22,'2-Manifold (Variable Length)'!$C$8)</f>
        <v>6</v>
      </c>
      <c r="AH22" s="386">
        <v>19</v>
      </c>
      <c r="AI22" s="392">
        <v>18</v>
      </c>
      <c r="AJ22" s="621">
        <v>14.16</v>
      </c>
      <c r="AK22" s="621">
        <v>0.43160000000000004</v>
      </c>
      <c r="AL22" s="393">
        <v>24.87</v>
      </c>
      <c r="AM22" s="394">
        <v>1.62</v>
      </c>
      <c r="AN22" s="394">
        <v>30.9</v>
      </c>
      <c r="AO22" s="394">
        <v>5.1100000000000003</v>
      </c>
      <c r="AP22" s="394">
        <v>22.39</v>
      </c>
      <c r="AQ22" s="335">
        <v>9.1199999999999992</v>
      </c>
    </row>
    <row r="23" spans="1:43">
      <c r="A23" s="84">
        <v>23</v>
      </c>
      <c r="B23" s="86"/>
      <c r="C23" s="85"/>
      <c r="D23" s="107">
        <v>11</v>
      </c>
      <c r="E23" t="s">
        <v>88</v>
      </c>
      <c r="F23" s="135">
        <v>51.5</v>
      </c>
      <c r="G23" s="136">
        <v>37</v>
      </c>
      <c r="H23" s="122">
        <v>12</v>
      </c>
      <c r="I23" s="123">
        <v>10</v>
      </c>
      <c r="J23" s="126">
        <f t="shared" si="0"/>
        <v>0.78539816339744828</v>
      </c>
      <c r="K23" s="127">
        <f t="shared" si="1"/>
        <v>0.54541539124822802</v>
      </c>
      <c r="L23" s="139">
        <v>14.58</v>
      </c>
      <c r="M23" s="126">
        <v>12</v>
      </c>
      <c r="N23" s="126">
        <f t="shared" si="2"/>
        <v>1.1594244037613981</v>
      </c>
      <c r="O23" s="126">
        <f t="shared" si="3"/>
        <v>0.78539816339744828</v>
      </c>
      <c r="P23" s="127">
        <f t="shared" si="4"/>
        <v>0.8037500000000003</v>
      </c>
      <c r="Q23" s="108">
        <v>11</v>
      </c>
      <c r="R23" t="s">
        <v>88</v>
      </c>
      <c r="S23" s="135">
        <v>51.5</v>
      </c>
      <c r="T23" s="136">
        <v>37</v>
      </c>
      <c r="U23" s="122">
        <v>12</v>
      </c>
      <c r="V23" s="123">
        <v>10</v>
      </c>
      <c r="W23" s="126">
        <f t="shared" si="5"/>
        <v>0.78539816339744828</v>
      </c>
      <c r="X23" s="127">
        <f t="shared" si="6"/>
        <v>0.54541539124822802</v>
      </c>
      <c r="Y23" s="139">
        <v>14.58</v>
      </c>
      <c r="Z23" s="126">
        <v>12</v>
      </c>
      <c r="AA23" s="126">
        <f t="shared" si="7"/>
        <v>1.1594244037613981</v>
      </c>
      <c r="AB23" s="126">
        <f t="shared" si="8"/>
        <v>0.78539816339744828</v>
      </c>
      <c r="AC23" s="127">
        <f t="shared" si="9"/>
        <v>0.8037500000000003</v>
      </c>
      <c r="AE23" s="289">
        <f>IF('1-Manifold (Variable Length)'!$C$8&gt;=A23,A23,'1-Manifold (Variable Length)'!$C$8)</f>
        <v>10</v>
      </c>
      <c r="AF23" s="289">
        <f>IF('2-Manifold (Variable Length)'!$C$8&gt;=A23,A23,'2-Manifold (Variable Length)'!$C$8)</f>
        <v>6</v>
      </c>
      <c r="AH23" s="386">
        <v>20</v>
      </c>
      <c r="AI23" s="392">
        <v>19</v>
      </c>
      <c r="AJ23" s="621">
        <v>14.83</v>
      </c>
      <c r="AK23" s="621">
        <v>0.44890000000000002</v>
      </c>
      <c r="AL23" s="393">
        <v>26.72</v>
      </c>
      <c r="AM23" s="394">
        <v>1.7400000000000002</v>
      </c>
      <c r="AN23" s="394">
        <v>34.19</v>
      </c>
      <c r="AO23" s="394">
        <v>5.64</v>
      </c>
      <c r="AP23" s="394">
        <v>24.76</v>
      </c>
      <c r="AQ23" s="335">
        <v>10.11</v>
      </c>
    </row>
    <row r="24" spans="1:43">
      <c r="A24" s="84">
        <v>24</v>
      </c>
      <c r="B24" s="86"/>
      <c r="C24" s="85"/>
      <c r="D24" s="107">
        <v>12</v>
      </c>
      <c r="E24" t="s">
        <v>89</v>
      </c>
      <c r="F24" s="135">
        <v>52</v>
      </c>
      <c r="G24" s="136">
        <v>37.5</v>
      </c>
      <c r="H24" s="122">
        <v>12</v>
      </c>
      <c r="I24" s="123">
        <v>12</v>
      </c>
      <c r="J24" s="126">
        <f t="shared" si="0"/>
        <v>0.78539816339744828</v>
      </c>
      <c r="K24" s="127">
        <f t="shared" si="1"/>
        <v>0.78539816339744828</v>
      </c>
      <c r="L24" s="139">
        <v>14.58</v>
      </c>
      <c r="M24" s="126">
        <v>14.58</v>
      </c>
      <c r="N24" s="126">
        <f t="shared" si="2"/>
        <v>1.1594244037613981</v>
      </c>
      <c r="O24" s="126">
        <f t="shared" si="3"/>
        <v>1.1594244037613981</v>
      </c>
      <c r="P24" s="127">
        <f t="shared" si="4"/>
        <v>0.8037500000000003</v>
      </c>
      <c r="Q24" s="108">
        <v>12</v>
      </c>
      <c r="R24" t="s">
        <v>89</v>
      </c>
      <c r="S24" s="135">
        <v>52</v>
      </c>
      <c r="T24" s="136">
        <v>37.5</v>
      </c>
      <c r="U24" s="122">
        <v>12</v>
      </c>
      <c r="V24" s="123">
        <v>12</v>
      </c>
      <c r="W24" s="126">
        <f t="shared" si="5"/>
        <v>0.78539816339744828</v>
      </c>
      <c r="X24" s="127">
        <f t="shared" si="6"/>
        <v>0.78539816339744828</v>
      </c>
      <c r="Y24" s="139">
        <v>14.58</v>
      </c>
      <c r="Z24" s="126">
        <v>14.58</v>
      </c>
      <c r="AA24" s="126">
        <f t="shared" si="7"/>
        <v>1.1594244037613981</v>
      </c>
      <c r="AB24" s="126">
        <f t="shared" si="8"/>
        <v>1.1594244037613981</v>
      </c>
      <c r="AC24" s="127">
        <f t="shared" si="9"/>
        <v>0.8037500000000003</v>
      </c>
      <c r="AE24" s="289">
        <f>IF('1-Manifold (Variable Length)'!$C$8&gt;=A24,A24,'1-Manifold (Variable Length)'!$C$8)</f>
        <v>10</v>
      </c>
      <c r="AF24" s="289">
        <f>IF('2-Manifold (Variable Length)'!$C$8&gt;=A24,A24,'2-Manifold (Variable Length)'!$C$8)</f>
        <v>6</v>
      </c>
      <c r="AH24" s="386">
        <v>21</v>
      </c>
      <c r="AI24" s="392">
        <v>20</v>
      </c>
      <c r="AJ24" s="621">
        <v>15.27</v>
      </c>
      <c r="AK24" s="621">
        <v>0.46130000000000004</v>
      </c>
      <c r="AL24" s="393">
        <v>28.54</v>
      </c>
      <c r="AM24" s="394">
        <v>1.8500000000000003</v>
      </c>
      <c r="AN24" s="394">
        <v>37.450000000000003</v>
      </c>
      <c r="AO24" s="394">
        <v>6.16</v>
      </c>
      <c r="AP24" s="394">
        <v>27.12</v>
      </c>
      <c r="AQ24" s="335">
        <v>11.1</v>
      </c>
    </row>
    <row r="25" spans="1:43">
      <c r="A25" s="84">
        <v>25</v>
      </c>
      <c r="B25" s="86"/>
      <c r="C25" s="85"/>
      <c r="D25" s="107">
        <v>13</v>
      </c>
      <c r="E25" t="s">
        <v>90</v>
      </c>
      <c r="F25" s="135">
        <v>54.25</v>
      </c>
      <c r="G25" s="136">
        <v>36.75</v>
      </c>
      <c r="H25" s="122">
        <v>15</v>
      </c>
      <c r="I25" s="123">
        <v>4</v>
      </c>
      <c r="J25" s="126">
        <f t="shared" si="0"/>
        <v>1.227184630308513</v>
      </c>
      <c r="K25" s="127">
        <f t="shared" si="1"/>
        <v>8.7266462599716474E-2</v>
      </c>
      <c r="L25" s="139">
        <v>17.73</v>
      </c>
      <c r="M25" s="126">
        <v>4.75</v>
      </c>
      <c r="N25" s="126">
        <f t="shared" si="2"/>
        <v>1.7145290994351507</v>
      </c>
      <c r="O25" s="126">
        <f t="shared" si="3"/>
        <v>0.12305934765038143</v>
      </c>
      <c r="P25" s="127">
        <f t="shared" si="4"/>
        <v>0.8693749999999999</v>
      </c>
      <c r="Q25" s="108">
        <v>13</v>
      </c>
      <c r="R25" t="s">
        <v>90</v>
      </c>
      <c r="S25" s="135">
        <v>54.25</v>
      </c>
      <c r="T25" s="136">
        <v>36.75</v>
      </c>
      <c r="U25" s="122">
        <v>15</v>
      </c>
      <c r="V25" s="123">
        <v>4</v>
      </c>
      <c r="W25" s="126">
        <f t="shared" si="5"/>
        <v>1.227184630308513</v>
      </c>
      <c r="X25" s="127">
        <f t="shared" si="6"/>
        <v>8.7266462599716474E-2</v>
      </c>
      <c r="Y25" s="139">
        <v>17.73</v>
      </c>
      <c r="Z25" s="126">
        <v>4.75</v>
      </c>
      <c r="AA25" s="126">
        <f t="shared" si="7"/>
        <v>1.7145290994351507</v>
      </c>
      <c r="AB25" s="126">
        <f t="shared" si="8"/>
        <v>0.12305934765038143</v>
      </c>
      <c r="AC25" s="127">
        <f t="shared" si="9"/>
        <v>0.8693749999999999</v>
      </c>
      <c r="AE25" s="289">
        <f>IF('1-Manifold (Variable Length)'!$C$8&gt;=A25,A25,'1-Manifold (Variable Length)'!$C$8)</f>
        <v>10</v>
      </c>
      <c r="AF25" s="289">
        <f>IF('2-Manifold (Variable Length)'!$C$8&gt;=A25,A25,'2-Manifold (Variable Length)'!$C$8)</f>
        <v>6</v>
      </c>
      <c r="AH25" s="386">
        <v>22</v>
      </c>
      <c r="AI25" s="392">
        <v>21</v>
      </c>
      <c r="AJ25" s="621">
        <v>15.5</v>
      </c>
      <c r="AK25" s="621">
        <v>0.46730000000000005</v>
      </c>
      <c r="AL25" s="393">
        <v>30.31</v>
      </c>
      <c r="AM25" s="394">
        <v>1.9600000000000004</v>
      </c>
      <c r="AN25" s="394">
        <v>40.68</v>
      </c>
      <c r="AO25" s="394">
        <v>6.67</v>
      </c>
      <c r="AP25" s="394">
        <v>29.47</v>
      </c>
      <c r="AQ25" s="335">
        <v>12.08</v>
      </c>
    </row>
    <row r="26" spans="1:43">
      <c r="A26" s="84">
        <v>26</v>
      </c>
      <c r="B26" s="86"/>
      <c r="C26" s="85"/>
      <c r="D26" s="107">
        <v>14</v>
      </c>
      <c r="E26" t="s">
        <v>91</v>
      </c>
      <c r="F26" s="135">
        <v>54</v>
      </c>
      <c r="G26" s="136">
        <v>36.5</v>
      </c>
      <c r="H26" s="122">
        <v>15</v>
      </c>
      <c r="I26" s="123">
        <v>6</v>
      </c>
      <c r="J26" s="126">
        <f t="shared" si="0"/>
        <v>1.227184630308513</v>
      </c>
      <c r="K26" s="127">
        <f t="shared" si="1"/>
        <v>0.19634954084936207</v>
      </c>
      <c r="L26" s="139">
        <v>17.73</v>
      </c>
      <c r="M26" s="126">
        <v>7.05</v>
      </c>
      <c r="N26" s="126">
        <f t="shared" si="2"/>
        <v>1.7145290994351507</v>
      </c>
      <c r="O26" s="126">
        <f t="shared" si="3"/>
        <v>0.27108508483515054</v>
      </c>
      <c r="P26" s="127">
        <f t="shared" si="4"/>
        <v>0.8693749999999999</v>
      </c>
      <c r="Q26" s="108">
        <v>14</v>
      </c>
      <c r="R26" t="s">
        <v>91</v>
      </c>
      <c r="S26" s="135">
        <v>54</v>
      </c>
      <c r="T26" s="136">
        <v>36.5</v>
      </c>
      <c r="U26" s="122">
        <v>15</v>
      </c>
      <c r="V26" s="123">
        <v>6</v>
      </c>
      <c r="W26" s="126">
        <f t="shared" si="5"/>
        <v>1.227184630308513</v>
      </c>
      <c r="X26" s="127">
        <f t="shared" si="6"/>
        <v>0.19634954084936207</v>
      </c>
      <c r="Y26" s="139">
        <v>17.73</v>
      </c>
      <c r="Z26" s="126">
        <v>7.05</v>
      </c>
      <c r="AA26" s="126">
        <f t="shared" si="7"/>
        <v>1.7145290994351507</v>
      </c>
      <c r="AB26" s="126">
        <f t="shared" si="8"/>
        <v>0.27108508483515054</v>
      </c>
      <c r="AC26" s="127">
        <f t="shared" si="9"/>
        <v>0.8693749999999999</v>
      </c>
      <c r="AE26" s="289">
        <f>IF('1-Manifold (Variable Length)'!$C$8&gt;=A26,A26,'1-Manifold (Variable Length)'!$C$8)</f>
        <v>10</v>
      </c>
      <c r="AF26" s="289">
        <f>IF('2-Manifold (Variable Length)'!$C$8&gt;=A26,A26,'2-Manifold (Variable Length)'!$C$8)</f>
        <v>6</v>
      </c>
      <c r="AH26" s="386">
        <v>23</v>
      </c>
      <c r="AI26" s="392">
        <v>22</v>
      </c>
      <c r="AJ26" s="621">
        <v>15.59</v>
      </c>
      <c r="AK26" s="621">
        <v>0.46900000000000003</v>
      </c>
      <c r="AL26" s="393">
        <v>32.03</v>
      </c>
      <c r="AM26" s="394">
        <v>2.0600000000000005</v>
      </c>
      <c r="AN26" s="394">
        <v>43.89</v>
      </c>
      <c r="AO26" s="394">
        <v>7.17</v>
      </c>
      <c r="AP26" s="394">
        <v>31.8</v>
      </c>
      <c r="AQ26" s="335">
        <v>13.05</v>
      </c>
    </row>
    <row r="27" spans="1:43">
      <c r="A27" s="84">
        <v>27</v>
      </c>
      <c r="B27" s="86"/>
      <c r="C27" s="85"/>
      <c r="D27" s="107">
        <v>15</v>
      </c>
      <c r="E27" t="s">
        <v>92</v>
      </c>
      <c r="F27" s="135">
        <v>54.5</v>
      </c>
      <c r="G27" s="136">
        <v>37</v>
      </c>
      <c r="H27" s="122">
        <v>15</v>
      </c>
      <c r="I27" s="123">
        <v>8</v>
      </c>
      <c r="J27" s="126">
        <f t="shared" si="0"/>
        <v>1.227184630308513</v>
      </c>
      <c r="K27" s="127">
        <f t="shared" si="1"/>
        <v>0.3490658503988659</v>
      </c>
      <c r="L27" s="139">
        <v>17.73</v>
      </c>
      <c r="M27" s="126">
        <v>9.4</v>
      </c>
      <c r="N27" s="126">
        <f t="shared" si="2"/>
        <v>1.7145290994351507</v>
      </c>
      <c r="O27" s="126">
        <f t="shared" si="3"/>
        <v>0.48192903970693424</v>
      </c>
      <c r="P27" s="127">
        <f t="shared" si="4"/>
        <v>0.8693749999999999</v>
      </c>
      <c r="Q27" s="108">
        <v>15</v>
      </c>
      <c r="R27" t="s">
        <v>92</v>
      </c>
      <c r="S27" s="135">
        <v>54.5</v>
      </c>
      <c r="T27" s="136">
        <v>37</v>
      </c>
      <c r="U27" s="122">
        <v>15</v>
      </c>
      <c r="V27" s="123">
        <v>8</v>
      </c>
      <c r="W27" s="126">
        <f t="shared" si="5"/>
        <v>1.227184630308513</v>
      </c>
      <c r="X27" s="127">
        <f t="shared" si="6"/>
        <v>0.3490658503988659</v>
      </c>
      <c r="Y27" s="139">
        <v>17.73</v>
      </c>
      <c r="Z27" s="126">
        <v>9.4</v>
      </c>
      <c r="AA27" s="126">
        <f t="shared" si="7"/>
        <v>1.7145290994351507</v>
      </c>
      <c r="AB27" s="126">
        <f t="shared" si="8"/>
        <v>0.48192903970693424</v>
      </c>
      <c r="AC27" s="127">
        <f t="shared" si="9"/>
        <v>0.8693749999999999</v>
      </c>
      <c r="AE27" s="289">
        <f>IF('1-Manifold (Variable Length)'!$C$8&gt;=A27,A27,'1-Manifold (Variable Length)'!$C$8)</f>
        <v>10</v>
      </c>
      <c r="AF27" s="289">
        <f>IF('2-Manifold (Variable Length)'!$C$8&gt;=A27,A27,'2-Manifold (Variable Length)'!$C$8)</f>
        <v>6</v>
      </c>
      <c r="AH27" s="386">
        <v>24</v>
      </c>
      <c r="AI27" s="392">
        <v>23</v>
      </c>
      <c r="AJ27" s="621">
        <v>15.59</v>
      </c>
      <c r="AK27" s="621">
        <v>0.46900000000000003</v>
      </c>
      <c r="AL27" s="393">
        <v>33.69</v>
      </c>
      <c r="AM27" s="394">
        <v>2.1600000000000006</v>
      </c>
      <c r="AN27" s="394">
        <v>47.06</v>
      </c>
      <c r="AO27" s="394">
        <v>7.66</v>
      </c>
      <c r="AP27" s="394">
        <v>34.119999999999997</v>
      </c>
      <c r="AQ27" s="335">
        <v>14.010000000000002</v>
      </c>
    </row>
    <row r="28" spans="1:43">
      <c r="A28" s="84">
        <v>28</v>
      </c>
      <c r="B28" s="86"/>
      <c r="C28" s="85"/>
      <c r="D28" s="107">
        <v>16</v>
      </c>
      <c r="E28" t="s">
        <v>93</v>
      </c>
      <c r="F28" s="135">
        <v>54.5</v>
      </c>
      <c r="G28" s="136">
        <v>37</v>
      </c>
      <c r="H28" s="122">
        <v>15</v>
      </c>
      <c r="I28" s="123">
        <v>10</v>
      </c>
      <c r="J28" s="126">
        <f t="shared" si="0"/>
        <v>1.227184630308513</v>
      </c>
      <c r="K28" s="127">
        <f t="shared" si="1"/>
        <v>0.54541539124822802</v>
      </c>
      <c r="L28" s="139">
        <v>17.73</v>
      </c>
      <c r="M28" s="126">
        <v>12</v>
      </c>
      <c r="N28" s="126">
        <f t="shared" si="2"/>
        <v>1.7145290994351507</v>
      </c>
      <c r="O28" s="126">
        <f t="shared" si="3"/>
        <v>0.78539816339744828</v>
      </c>
      <c r="P28" s="127">
        <f t="shared" si="4"/>
        <v>0.8693749999999999</v>
      </c>
      <c r="Q28" s="108">
        <v>16</v>
      </c>
      <c r="R28" t="s">
        <v>93</v>
      </c>
      <c r="S28" s="135">
        <v>54.5</v>
      </c>
      <c r="T28" s="136">
        <v>37</v>
      </c>
      <c r="U28" s="122">
        <v>15</v>
      </c>
      <c r="V28" s="123">
        <v>10</v>
      </c>
      <c r="W28" s="126">
        <f t="shared" si="5"/>
        <v>1.227184630308513</v>
      </c>
      <c r="X28" s="127">
        <f t="shared" si="6"/>
        <v>0.54541539124822802</v>
      </c>
      <c r="Y28" s="139">
        <v>17.73</v>
      </c>
      <c r="Z28" s="126">
        <v>12</v>
      </c>
      <c r="AA28" s="126">
        <f t="shared" si="7"/>
        <v>1.7145290994351507</v>
      </c>
      <c r="AB28" s="126">
        <f t="shared" si="8"/>
        <v>0.78539816339744828</v>
      </c>
      <c r="AC28" s="127">
        <f t="shared" si="9"/>
        <v>0.8693749999999999</v>
      </c>
      <c r="AE28" s="289">
        <f>IF('1-Manifold (Variable Length)'!$C$8&gt;=A28,A28,'1-Manifold (Variable Length)'!$C$8)</f>
        <v>10</v>
      </c>
      <c r="AF28" s="289">
        <f>IF('2-Manifold (Variable Length)'!$C$8&gt;=A28,A28,'2-Manifold (Variable Length)'!$C$8)</f>
        <v>6</v>
      </c>
      <c r="AH28" s="386">
        <v>25</v>
      </c>
      <c r="AI28" s="392">
        <v>24</v>
      </c>
      <c r="AJ28" s="621">
        <v>15.59</v>
      </c>
      <c r="AK28" s="621">
        <v>0.46900000000000003</v>
      </c>
      <c r="AL28" s="393">
        <v>35.299999999999997</v>
      </c>
      <c r="AM28" s="394">
        <v>2.2500000000000004</v>
      </c>
      <c r="AN28" s="394">
        <v>50.19</v>
      </c>
      <c r="AO28" s="394">
        <v>8.1300000000000008</v>
      </c>
      <c r="AP28" s="394">
        <v>36.43</v>
      </c>
      <c r="AQ28" s="335">
        <v>14.96</v>
      </c>
    </row>
    <row r="29" spans="1:43">
      <c r="A29" s="84">
        <v>29</v>
      </c>
      <c r="B29" s="86"/>
      <c r="C29" s="85"/>
      <c r="D29" s="107">
        <v>17</v>
      </c>
      <c r="E29" t="s">
        <v>94</v>
      </c>
      <c r="F29" s="135">
        <v>55</v>
      </c>
      <c r="G29" s="136">
        <v>37.5</v>
      </c>
      <c r="H29" s="122">
        <v>15</v>
      </c>
      <c r="I29" s="123">
        <v>12</v>
      </c>
      <c r="J29" s="126">
        <f t="shared" si="0"/>
        <v>1.227184630308513</v>
      </c>
      <c r="K29" s="127">
        <f t="shared" si="1"/>
        <v>0.78539816339744828</v>
      </c>
      <c r="L29" s="139">
        <v>17.73</v>
      </c>
      <c r="M29" s="126">
        <v>14.58</v>
      </c>
      <c r="N29" s="126">
        <f t="shared" si="2"/>
        <v>1.7145290994351507</v>
      </c>
      <c r="O29" s="126">
        <f t="shared" si="3"/>
        <v>1.1594244037613981</v>
      </c>
      <c r="P29" s="127">
        <f t="shared" si="4"/>
        <v>0.8693749999999999</v>
      </c>
      <c r="Q29" s="108">
        <v>17</v>
      </c>
      <c r="R29" t="s">
        <v>94</v>
      </c>
      <c r="S29" s="135">
        <v>55</v>
      </c>
      <c r="T29" s="136">
        <v>37.5</v>
      </c>
      <c r="U29" s="122">
        <v>15</v>
      </c>
      <c r="V29" s="123">
        <v>12</v>
      </c>
      <c r="W29" s="126">
        <f t="shared" si="5"/>
        <v>1.227184630308513</v>
      </c>
      <c r="X29" s="127">
        <f t="shared" si="6"/>
        <v>0.78539816339744828</v>
      </c>
      <c r="Y29" s="139">
        <v>17.73</v>
      </c>
      <c r="Z29" s="126">
        <v>14.58</v>
      </c>
      <c r="AA29" s="126">
        <f t="shared" si="7"/>
        <v>1.7145290994351507</v>
      </c>
      <c r="AB29" s="126">
        <f t="shared" si="8"/>
        <v>1.1594244037613981</v>
      </c>
      <c r="AC29" s="127">
        <f t="shared" si="9"/>
        <v>0.8693749999999999</v>
      </c>
      <c r="AE29" s="289">
        <f>IF('1-Manifold (Variable Length)'!$C$8&gt;=A29,A29,'1-Manifold (Variable Length)'!$C$8)</f>
        <v>10</v>
      </c>
      <c r="AF29" s="289">
        <f>IF('2-Manifold (Variable Length)'!$C$8&gt;=A29,A29,'2-Manifold (Variable Length)'!$C$8)</f>
        <v>6</v>
      </c>
      <c r="AH29" s="386">
        <v>26</v>
      </c>
      <c r="AI29" s="392">
        <v>25</v>
      </c>
      <c r="AJ29" s="621">
        <v>15.59</v>
      </c>
      <c r="AK29" s="621">
        <v>0.46900000000000003</v>
      </c>
      <c r="AL29" s="393">
        <v>36.85</v>
      </c>
      <c r="AM29" s="394">
        <v>2.3300000000000005</v>
      </c>
      <c r="AN29" s="394">
        <v>53.3</v>
      </c>
      <c r="AO29" s="394">
        <v>8.59</v>
      </c>
      <c r="AP29" s="394">
        <v>38.299999999999997</v>
      </c>
      <c r="AQ29" s="335">
        <v>15.9</v>
      </c>
    </row>
    <row r="30" spans="1:43">
      <c r="A30" s="84">
        <v>30</v>
      </c>
      <c r="B30" s="86"/>
      <c r="C30" s="85"/>
      <c r="D30" s="107">
        <v>18</v>
      </c>
      <c r="E30" t="s">
        <v>95</v>
      </c>
      <c r="F30" s="135">
        <v>53.75</v>
      </c>
      <c r="G30" s="136">
        <v>36.25</v>
      </c>
      <c r="H30" s="122">
        <v>15</v>
      </c>
      <c r="I30" s="123">
        <v>15</v>
      </c>
      <c r="J30" s="126">
        <f t="shared" si="0"/>
        <v>1.227184630308513</v>
      </c>
      <c r="K30" s="127">
        <f t="shared" si="1"/>
        <v>1.227184630308513</v>
      </c>
      <c r="L30" s="139">
        <v>17.73</v>
      </c>
      <c r="M30" s="126">
        <v>17.73</v>
      </c>
      <c r="N30" s="126">
        <f t="shared" si="2"/>
        <v>1.7145290994351507</v>
      </c>
      <c r="O30" s="126">
        <f t="shared" si="3"/>
        <v>1.7145290994351507</v>
      </c>
      <c r="P30" s="127">
        <f t="shared" si="4"/>
        <v>0.8693749999999999</v>
      </c>
      <c r="Q30" s="108">
        <v>18</v>
      </c>
      <c r="R30" t="s">
        <v>95</v>
      </c>
      <c r="S30" s="135">
        <v>53.75</v>
      </c>
      <c r="T30" s="136">
        <v>36.25</v>
      </c>
      <c r="U30" s="122">
        <v>15</v>
      </c>
      <c r="V30" s="123">
        <v>15</v>
      </c>
      <c r="W30" s="126">
        <f t="shared" si="5"/>
        <v>1.227184630308513</v>
      </c>
      <c r="X30" s="127">
        <f t="shared" si="6"/>
        <v>1.227184630308513</v>
      </c>
      <c r="Y30" s="139">
        <v>17.73</v>
      </c>
      <c r="Z30" s="126">
        <v>17.73</v>
      </c>
      <c r="AA30" s="126">
        <f t="shared" si="7"/>
        <v>1.7145290994351507</v>
      </c>
      <c r="AB30" s="126">
        <f t="shared" si="8"/>
        <v>1.7145290994351507</v>
      </c>
      <c r="AC30" s="127">
        <f t="shared" si="9"/>
        <v>0.8693749999999999</v>
      </c>
      <c r="AE30" s="289">
        <f>IF('1-Manifold (Variable Length)'!$C$8&gt;=A30,A30,'1-Manifold (Variable Length)'!$C$8)</f>
        <v>10</v>
      </c>
      <c r="AF30" s="289">
        <f>IF('2-Manifold (Variable Length)'!$C$8&gt;=A30,A30,'2-Manifold (Variable Length)'!$C$8)</f>
        <v>6</v>
      </c>
      <c r="AH30" s="386">
        <v>27</v>
      </c>
      <c r="AI30" s="392">
        <v>26</v>
      </c>
      <c r="AJ30" s="621">
        <v>15.59</v>
      </c>
      <c r="AK30" s="621">
        <v>0.46900000000000003</v>
      </c>
      <c r="AL30" s="393">
        <v>38.33</v>
      </c>
      <c r="AM30" s="394">
        <v>2.4100000000000006</v>
      </c>
      <c r="AN30" s="394">
        <v>56.37</v>
      </c>
      <c r="AO30" s="394">
        <v>9.0399999999999991</v>
      </c>
      <c r="AP30" s="394">
        <v>41.02</v>
      </c>
      <c r="AQ30" s="335">
        <v>16.830000000000002</v>
      </c>
    </row>
    <row r="31" spans="1:43">
      <c r="A31" s="84">
        <v>31</v>
      </c>
      <c r="B31" s="86"/>
      <c r="C31" s="85"/>
      <c r="D31" s="107">
        <v>19</v>
      </c>
      <c r="E31" t="s">
        <v>96</v>
      </c>
      <c r="F31" s="135">
        <v>58.25</v>
      </c>
      <c r="G31" s="136">
        <v>36.75</v>
      </c>
      <c r="H31" s="122">
        <v>18</v>
      </c>
      <c r="I31" s="123">
        <v>4</v>
      </c>
      <c r="J31" s="126">
        <f t="shared" si="0"/>
        <v>1.7671458676442586</v>
      </c>
      <c r="K31" s="127">
        <f t="shared" si="1"/>
        <v>8.7266462599716474E-2</v>
      </c>
      <c r="L31" s="139">
        <v>21.45</v>
      </c>
      <c r="M31" s="126">
        <v>4.75</v>
      </c>
      <c r="N31" s="126">
        <f t="shared" si="2"/>
        <v>2.5094698505178781</v>
      </c>
      <c r="O31" s="126">
        <f t="shared" si="3"/>
        <v>0.12305934765038143</v>
      </c>
      <c r="P31" s="127">
        <f t="shared" si="4"/>
        <v>0.94687499999999991</v>
      </c>
      <c r="Q31" s="108">
        <v>19</v>
      </c>
      <c r="R31" t="s">
        <v>96</v>
      </c>
      <c r="S31" s="135">
        <v>58.25</v>
      </c>
      <c r="T31" s="136">
        <v>36.75</v>
      </c>
      <c r="U31" s="122">
        <v>18</v>
      </c>
      <c r="V31" s="123">
        <v>4</v>
      </c>
      <c r="W31" s="126">
        <f t="shared" si="5"/>
        <v>1.7671458676442586</v>
      </c>
      <c r="X31" s="127">
        <f t="shared" si="6"/>
        <v>8.7266462599716474E-2</v>
      </c>
      <c r="Y31" s="139">
        <v>21.45</v>
      </c>
      <c r="Z31" s="126">
        <v>4.75</v>
      </c>
      <c r="AA31" s="126">
        <f t="shared" si="7"/>
        <v>2.5094698505178781</v>
      </c>
      <c r="AB31" s="126">
        <f t="shared" si="8"/>
        <v>0.12305934765038143</v>
      </c>
      <c r="AC31" s="127">
        <f t="shared" si="9"/>
        <v>0.94687499999999991</v>
      </c>
      <c r="AE31" s="289">
        <f>IF('1-Manifold (Variable Length)'!$C$8&gt;=A31,A31,'1-Manifold (Variable Length)'!$C$8)</f>
        <v>10</v>
      </c>
      <c r="AF31" s="289">
        <f>IF('2-Manifold (Variable Length)'!$C$8&gt;=A31,A31,'2-Manifold (Variable Length)'!$C$8)</f>
        <v>6</v>
      </c>
      <c r="AH31" s="386">
        <v>28</v>
      </c>
      <c r="AI31" s="392">
        <v>27</v>
      </c>
      <c r="AJ31" s="621">
        <v>15.59</v>
      </c>
      <c r="AK31" s="621">
        <v>0.46900000000000003</v>
      </c>
      <c r="AL31" s="393">
        <v>39.74</v>
      </c>
      <c r="AM31" s="394">
        <v>2.4800000000000004</v>
      </c>
      <c r="AN31" s="394">
        <v>59.41</v>
      </c>
      <c r="AO31" s="394">
        <v>9.48</v>
      </c>
      <c r="AP31" s="394">
        <v>43.3</v>
      </c>
      <c r="AQ31" s="335">
        <v>17.750000000000004</v>
      </c>
    </row>
    <row r="32" spans="1:43">
      <c r="A32" s="84">
        <v>32</v>
      </c>
      <c r="B32" s="86"/>
      <c r="C32" s="86"/>
      <c r="D32" s="107">
        <v>20</v>
      </c>
      <c r="E32" t="s">
        <v>97</v>
      </c>
      <c r="F32" s="135">
        <v>58</v>
      </c>
      <c r="G32" s="136">
        <v>36.5</v>
      </c>
      <c r="H32" s="122">
        <v>18</v>
      </c>
      <c r="I32" s="123">
        <v>6</v>
      </c>
      <c r="J32" s="126">
        <f t="shared" si="0"/>
        <v>1.7671458676442586</v>
      </c>
      <c r="K32" s="127">
        <f t="shared" si="1"/>
        <v>0.19634954084936207</v>
      </c>
      <c r="L32" s="139">
        <v>21.45</v>
      </c>
      <c r="M32" s="126">
        <v>7.05</v>
      </c>
      <c r="N32" s="126">
        <f t="shared" si="2"/>
        <v>2.5094698505178781</v>
      </c>
      <c r="O32" s="126">
        <f t="shared" si="3"/>
        <v>0.27108508483515054</v>
      </c>
      <c r="P32" s="127">
        <f t="shared" si="4"/>
        <v>0.94687499999999991</v>
      </c>
      <c r="Q32" s="108">
        <v>20</v>
      </c>
      <c r="R32" t="s">
        <v>97</v>
      </c>
      <c r="S32" s="135">
        <v>58</v>
      </c>
      <c r="T32" s="136">
        <v>36.5</v>
      </c>
      <c r="U32" s="122">
        <v>18</v>
      </c>
      <c r="V32" s="123">
        <v>6</v>
      </c>
      <c r="W32" s="126">
        <f t="shared" si="5"/>
        <v>1.7671458676442586</v>
      </c>
      <c r="X32" s="127">
        <f t="shared" si="6"/>
        <v>0.19634954084936207</v>
      </c>
      <c r="Y32" s="139">
        <v>21.45</v>
      </c>
      <c r="Z32" s="126">
        <v>7.05</v>
      </c>
      <c r="AA32" s="126">
        <f t="shared" si="7"/>
        <v>2.5094698505178781</v>
      </c>
      <c r="AB32" s="126">
        <f t="shared" si="8"/>
        <v>0.27108508483515054</v>
      </c>
      <c r="AC32" s="127">
        <f t="shared" si="9"/>
        <v>0.94687499999999991</v>
      </c>
      <c r="AE32" s="289">
        <f>IF('1-Manifold (Variable Length)'!$C$8&gt;=A32,A32,'1-Manifold (Variable Length)'!$C$8)</f>
        <v>10</v>
      </c>
      <c r="AF32" s="289">
        <f>IF('2-Manifold (Variable Length)'!$C$8&gt;=A32,A32,'2-Manifold (Variable Length)'!$C$8)</f>
        <v>6</v>
      </c>
      <c r="AH32" s="386">
        <v>29</v>
      </c>
      <c r="AI32" s="392">
        <v>28</v>
      </c>
      <c r="AJ32" s="621">
        <v>15.59</v>
      </c>
      <c r="AK32" s="621">
        <v>0.46900000000000003</v>
      </c>
      <c r="AL32" s="393">
        <v>41.07</v>
      </c>
      <c r="AM32" s="394">
        <v>2.5400000000000005</v>
      </c>
      <c r="AN32" s="394">
        <v>62.4</v>
      </c>
      <c r="AO32" s="394">
        <v>9.9</v>
      </c>
      <c r="AP32" s="394">
        <v>45.56</v>
      </c>
      <c r="AQ32" s="335">
        <v>18.660000000000004</v>
      </c>
    </row>
    <row r="33" spans="1:43">
      <c r="A33" s="84">
        <v>33</v>
      </c>
      <c r="B33" s="86"/>
      <c r="C33" s="86"/>
      <c r="D33" s="107">
        <v>21</v>
      </c>
      <c r="E33" t="s">
        <v>98</v>
      </c>
      <c r="F33" s="135">
        <v>58.5</v>
      </c>
      <c r="G33" s="136">
        <v>37</v>
      </c>
      <c r="H33" s="122">
        <v>18</v>
      </c>
      <c r="I33" s="123">
        <v>8</v>
      </c>
      <c r="J33" s="126">
        <f t="shared" si="0"/>
        <v>1.7671458676442586</v>
      </c>
      <c r="K33" s="127">
        <f t="shared" si="1"/>
        <v>0.3490658503988659</v>
      </c>
      <c r="L33" s="139">
        <v>21.45</v>
      </c>
      <c r="M33" s="126">
        <v>9.4</v>
      </c>
      <c r="N33" s="126">
        <f t="shared" si="2"/>
        <v>2.5094698505178781</v>
      </c>
      <c r="O33" s="126">
        <f t="shared" si="3"/>
        <v>0.48192903970693424</v>
      </c>
      <c r="P33" s="127">
        <f t="shared" si="4"/>
        <v>0.94687499999999991</v>
      </c>
      <c r="Q33" s="108">
        <v>21</v>
      </c>
      <c r="R33" t="s">
        <v>98</v>
      </c>
      <c r="S33" s="135">
        <v>58.5</v>
      </c>
      <c r="T33" s="136">
        <v>37</v>
      </c>
      <c r="U33" s="122">
        <v>18</v>
      </c>
      <c r="V33" s="123">
        <v>8</v>
      </c>
      <c r="W33" s="126">
        <f t="shared" si="5"/>
        <v>1.7671458676442586</v>
      </c>
      <c r="X33" s="127">
        <f t="shared" si="6"/>
        <v>0.3490658503988659</v>
      </c>
      <c r="Y33" s="139">
        <v>21.45</v>
      </c>
      <c r="Z33" s="126">
        <v>9.4</v>
      </c>
      <c r="AA33" s="126">
        <f t="shared" si="7"/>
        <v>2.5094698505178781</v>
      </c>
      <c r="AB33" s="126">
        <f t="shared" si="8"/>
        <v>0.48192903970693424</v>
      </c>
      <c r="AC33" s="127">
        <f t="shared" si="9"/>
        <v>0.94687499999999991</v>
      </c>
      <c r="AE33" s="289">
        <f>IF('1-Manifold (Variable Length)'!$C$8&gt;=A33,A33,'1-Manifold (Variable Length)'!$C$8)</f>
        <v>10</v>
      </c>
      <c r="AF33" s="289">
        <f>IF('2-Manifold (Variable Length)'!$C$8&gt;=A33,A33,'2-Manifold (Variable Length)'!$C$8)</f>
        <v>6</v>
      </c>
      <c r="AH33" s="386">
        <v>30</v>
      </c>
      <c r="AI33" s="392">
        <v>29</v>
      </c>
      <c r="AJ33" s="621">
        <v>15.59</v>
      </c>
      <c r="AK33" s="621">
        <v>0.46900000000000003</v>
      </c>
      <c r="AL33" s="393">
        <v>42.31</v>
      </c>
      <c r="AM33" s="394">
        <v>2.6000000000000005</v>
      </c>
      <c r="AN33" s="394">
        <v>65.37</v>
      </c>
      <c r="AO33" s="394">
        <v>10.31</v>
      </c>
      <c r="AP33" s="394">
        <v>47.81</v>
      </c>
      <c r="AQ33" s="335">
        <v>19.560000000000002</v>
      </c>
    </row>
    <row r="34" spans="1:43">
      <c r="A34" s="84">
        <v>34</v>
      </c>
      <c r="B34" s="86"/>
      <c r="C34" s="86"/>
      <c r="D34" s="107">
        <v>22</v>
      </c>
      <c r="E34" t="s">
        <v>99</v>
      </c>
      <c r="F34" s="135">
        <v>58.5</v>
      </c>
      <c r="G34" s="136">
        <v>37</v>
      </c>
      <c r="H34" s="122">
        <v>18</v>
      </c>
      <c r="I34" s="123">
        <v>10</v>
      </c>
      <c r="J34" s="126">
        <f t="shared" si="0"/>
        <v>1.7671458676442586</v>
      </c>
      <c r="K34" s="127">
        <f t="shared" si="1"/>
        <v>0.54541539124822802</v>
      </c>
      <c r="L34" s="139">
        <v>21.45</v>
      </c>
      <c r="M34" s="126">
        <v>12</v>
      </c>
      <c r="N34" s="126">
        <f t="shared" si="2"/>
        <v>2.5094698505178781</v>
      </c>
      <c r="O34" s="126">
        <f t="shared" si="3"/>
        <v>0.78539816339744828</v>
      </c>
      <c r="P34" s="127">
        <f t="shared" si="4"/>
        <v>0.94687499999999991</v>
      </c>
      <c r="Q34" s="108">
        <v>22</v>
      </c>
      <c r="R34" t="s">
        <v>99</v>
      </c>
      <c r="S34" s="135">
        <v>58.5</v>
      </c>
      <c r="T34" s="136">
        <v>37</v>
      </c>
      <c r="U34" s="122">
        <v>18</v>
      </c>
      <c r="V34" s="123">
        <v>10</v>
      </c>
      <c r="W34" s="126">
        <f t="shared" si="5"/>
        <v>1.7671458676442586</v>
      </c>
      <c r="X34" s="127">
        <f t="shared" si="6"/>
        <v>0.54541539124822802</v>
      </c>
      <c r="Y34" s="139">
        <v>21.45</v>
      </c>
      <c r="Z34" s="126">
        <v>12</v>
      </c>
      <c r="AA34" s="126">
        <f t="shared" si="7"/>
        <v>2.5094698505178781</v>
      </c>
      <c r="AB34" s="126">
        <f t="shared" si="8"/>
        <v>0.78539816339744828</v>
      </c>
      <c r="AC34" s="127">
        <f t="shared" si="9"/>
        <v>0.94687499999999991</v>
      </c>
      <c r="AE34" s="289">
        <f>IF('1-Manifold (Variable Length)'!$C$8&gt;=A34,A34,'1-Manifold (Variable Length)'!$C$8)</f>
        <v>10</v>
      </c>
      <c r="AF34" s="289">
        <f>IF('2-Manifold (Variable Length)'!$C$8&gt;=A34,A34,'2-Manifold (Variable Length)'!$C$8)</f>
        <v>6</v>
      </c>
      <c r="AH34" s="386">
        <v>31</v>
      </c>
      <c r="AI34" s="392">
        <v>30</v>
      </c>
      <c r="AJ34" s="621">
        <v>15.59</v>
      </c>
      <c r="AK34" s="621">
        <v>0.46900000000000003</v>
      </c>
      <c r="AL34" s="393">
        <v>43.45</v>
      </c>
      <c r="AM34" s="394">
        <v>2.6500000000000004</v>
      </c>
      <c r="AN34" s="394">
        <v>68.290000000000006</v>
      </c>
      <c r="AO34" s="394">
        <v>10.71</v>
      </c>
      <c r="AP34" s="394">
        <v>50.05</v>
      </c>
      <c r="AQ34" s="335">
        <v>20.450000000000003</v>
      </c>
    </row>
    <row r="35" spans="1:43">
      <c r="A35" s="84">
        <v>35</v>
      </c>
      <c r="B35" s="86"/>
      <c r="C35" s="86"/>
      <c r="D35" s="107">
        <v>23</v>
      </c>
      <c r="E35" t="s">
        <v>100</v>
      </c>
      <c r="F35" s="135">
        <v>59</v>
      </c>
      <c r="G35" s="136">
        <v>37.5</v>
      </c>
      <c r="H35" s="122">
        <v>18</v>
      </c>
      <c r="I35" s="123">
        <v>12</v>
      </c>
      <c r="J35" s="126">
        <f t="shared" si="0"/>
        <v>1.7671458676442586</v>
      </c>
      <c r="K35" s="127">
        <f t="shared" si="1"/>
        <v>0.78539816339744828</v>
      </c>
      <c r="L35" s="139">
        <v>21.45</v>
      </c>
      <c r="M35" s="126">
        <v>14.58</v>
      </c>
      <c r="N35" s="126">
        <f t="shared" si="2"/>
        <v>2.5094698505178781</v>
      </c>
      <c r="O35" s="126">
        <f t="shared" si="3"/>
        <v>1.1594244037613981</v>
      </c>
      <c r="P35" s="127">
        <f t="shared" si="4"/>
        <v>0.94687499999999991</v>
      </c>
      <c r="Q35" s="108">
        <v>23</v>
      </c>
      <c r="R35" t="s">
        <v>100</v>
      </c>
      <c r="S35" s="135">
        <v>59</v>
      </c>
      <c r="T35" s="136">
        <v>37.5</v>
      </c>
      <c r="U35" s="122">
        <v>18</v>
      </c>
      <c r="V35" s="123">
        <v>12</v>
      </c>
      <c r="W35" s="126">
        <f t="shared" si="5"/>
        <v>1.7671458676442586</v>
      </c>
      <c r="X35" s="127">
        <f t="shared" si="6"/>
        <v>0.78539816339744828</v>
      </c>
      <c r="Y35" s="139">
        <v>21.45</v>
      </c>
      <c r="Z35" s="126">
        <v>14.58</v>
      </c>
      <c r="AA35" s="126">
        <f t="shared" si="7"/>
        <v>2.5094698505178781</v>
      </c>
      <c r="AB35" s="126">
        <f t="shared" si="8"/>
        <v>1.1594244037613981</v>
      </c>
      <c r="AC35" s="127">
        <f t="shared" si="9"/>
        <v>0.94687499999999991</v>
      </c>
      <c r="AE35" s="289">
        <f>IF('1-Manifold (Variable Length)'!$C$8&gt;=A35,A35,'1-Manifold (Variable Length)'!$C$8)</f>
        <v>10</v>
      </c>
      <c r="AF35" s="289">
        <f>IF('2-Manifold (Variable Length)'!$C$8&gt;=A35,A35,'2-Manifold (Variable Length)'!$C$8)</f>
        <v>6</v>
      </c>
      <c r="AH35" s="386">
        <v>32</v>
      </c>
      <c r="AI35" s="392">
        <v>31</v>
      </c>
      <c r="AJ35" s="621">
        <v>15.59</v>
      </c>
      <c r="AK35" s="621">
        <v>0.46900000000000003</v>
      </c>
      <c r="AL35" s="393">
        <v>44.46</v>
      </c>
      <c r="AM35" s="394">
        <v>2.6900000000000004</v>
      </c>
      <c r="AN35" s="394">
        <v>71.16</v>
      </c>
      <c r="AO35" s="394">
        <v>11.08</v>
      </c>
      <c r="AP35" s="394">
        <v>52.28</v>
      </c>
      <c r="AQ35" s="335">
        <v>21.330000000000002</v>
      </c>
    </row>
    <row r="36" spans="1:43">
      <c r="A36" s="84">
        <v>36</v>
      </c>
      <c r="B36" s="86"/>
      <c r="C36" s="86"/>
      <c r="D36" s="107">
        <v>24</v>
      </c>
      <c r="E36" t="s">
        <v>101</v>
      </c>
      <c r="F36" s="135">
        <v>57.75</v>
      </c>
      <c r="G36" s="136">
        <v>36.25</v>
      </c>
      <c r="H36" s="122">
        <v>18</v>
      </c>
      <c r="I36" s="123">
        <v>15</v>
      </c>
      <c r="J36" s="126">
        <f t="shared" si="0"/>
        <v>1.7671458676442586</v>
      </c>
      <c r="K36" s="127">
        <f t="shared" si="1"/>
        <v>1.227184630308513</v>
      </c>
      <c r="L36" s="139">
        <v>21.45</v>
      </c>
      <c r="M36" s="126">
        <v>17.73</v>
      </c>
      <c r="N36" s="126">
        <f t="shared" si="2"/>
        <v>2.5094698505178781</v>
      </c>
      <c r="O36" s="126">
        <f t="shared" si="3"/>
        <v>1.7145290994351507</v>
      </c>
      <c r="P36" s="127">
        <f t="shared" si="4"/>
        <v>0.94687499999999991</v>
      </c>
      <c r="Q36" s="108">
        <v>24</v>
      </c>
      <c r="R36" t="s">
        <v>101</v>
      </c>
      <c r="S36" s="135">
        <v>57.75</v>
      </c>
      <c r="T36" s="136">
        <v>36.25</v>
      </c>
      <c r="U36" s="122">
        <v>18</v>
      </c>
      <c r="V36" s="123">
        <v>15</v>
      </c>
      <c r="W36" s="126">
        <f t="shared" si="5"/>
        <v>1.7671458676442586</v>
      </c>
      <c r="X36" s="127">
        <f t="shared" si="6"/>
        <v>1.227184630308513</v>
      </c>
      <c r="Y36" s="139">
        <v>21.45</v>
      </c>
      <c r="Z36" s="126">
        <v>17.73</v>
      </c>
      <c r="AA36" s="126">
        <f t="shared" si="7"/>
        <v>2.5094698505178781</v>
      </c>
      <c r="AB36" s="126">
        <f t="shared" si="8"/>
        <v>1.7145290994351507</v>
      </c>
      <c r="AC36" s="127">
        <f t="shared" si="9"/>
        <v>0.94687499999999991</v>
      </c>
      <c r="AE36" s="289">
        <f>IF('1-Manifold (Variable Length)'!$C$8&gt;=A36,A36,'1-Manifold (Variable Length)'!$C$8)</f>
        <v>10</v>
      </c>
      <c r="AF36" s="289">
        <f>IF('2-Manifold (Variable Length)'!$C$8&gt;=A36,A36,'2-Manifold (Variable Length)'!$C$8)</f>
        <v>6</v>
      </c>
      <c r="AH36" s="386">
        <v>33</v>
      </c>
      <c r="AI36" s="392">
        <v>32</v>
      </c>
      <c r="AJ36" s="621">
        <v>15.59</v>
      </c>
      <c r="AK36" s="621">
        <v>0.46900000000000003</v>
      </c>
      <c r="AL36" s="393">
        <v>45.32</v>
      </c>
      <c r="AM36" s="394">
        <v>2.72</v>
      </c>
      <c r="AN36" s="394">
        <v>73.98</v>
      </c>
      <c r="AO36" s="394">
        <v>11.45</v>
      </c>
      <c r="AP36" s="394">
        <v>54.49</v>
      </c>
      <c r="AQ36" s="335">
        <v>22.200000000000003</v>
      </c>
    </row>
    <row r="37" spans="1:43">
      <c r="A37" s="84">
        <v>37</v>
      </c>
      <c r="B37" s="86"/>
      <c r="C37" s="86"/>
      <c r="D37" s="107">
        <v>25</v>
      </c>
      <c r="E37" t="s">
        <v>102</v>
      </c>
      <c r="F37" s="135">
        <v>60</v>
      </c>
      <c r="G37" s="136">
        <v>38.5</v>
      </c>
      <c r="H37" s="122">
        <v>18</v>
      </c>
      <c r="I37" s="123">
        <v>18</v>
      </c>
      <c r="J37" s="126">
        <f t="shared" si="0"/>
        <v>1.7671458676442586</v>
      </c>
      <c r="K37" s="127">
        <f t="shared" si="1"/>
        <v>1.7671458676442586</v>
      </c>
      <c r="L37" s="139">
        <v>21.45</v>
      </c>
      <c r="M37" s="126">
        <v>21.45</v>
      </c>
      <c r="N37" s="126">
        <f t="shared" si="2"/>
        <v>2.5094698505178781</v>
      </c>
      <c r="O37" s="126">
        <f t="shared" si="3"/>
        <v>2.5094698505178781</v>
      </c>
      <c r="P37" s="127">
        <f t="shared" si="4"/>
        <v>0.94687499999999991</v>
      </c>
      <c r="Q37" s="108">
        <v>25</v>
      </c>
      <c r="R37" t="s">
        <v>102</v>
      </c>
      <c r="S37" s="135">
        <v>60</v>
      </c>
      <c r="T37" s="136">
        <v>38.5</v>
      </c>
      <c r="U37" s="122">
        <v>18</v>
      </c>
      <c r="V37" s="123">
        <v>18</v>
      </c>
      <c r="W37" s="126">
        <f t="shared" si="5"/>
        <v>1.7671458676442586</v>
      </c>
      <c r="X37" s="127">
        <f t="shared" si="6"/>
        <v>1.7671458676442586</v>
      </c>
      <c r="Y37" s="139">
        <v>21.45</v>
      </c>
      <c r="Z37" s="126">
        <v>21.45</v>
      </c>
      <c r="AA37" s="126">
        <f t="shared" si="7"/>
        <v>2.5094698505178781</v>
      </c>
      <c r="AB37" s="126">
        <f t="shared" si="8"/>
        <v>2.5094698505178781</v>
      </c>
      <c r="AC37" s="127">
        <f t="shared" si="9"/>
        <v>0.94687499999999991</v>
      </c>
      <c r="AE37" s="289">
        <f>IF('1-Manifold (Variable Length)'!$C$8&gt;=A37,A37,'1-Manifold (Variable Length)'!$C$8)</f>
        <v>10</v>
      </c>
      <c r="AF37" s="289">
        <f>IF('2-Manifold (Variable Length)'!$C$8&gt;=A37,A37,'2-Manifold (Variable Length)'!$C$8)</f>
        <v>6</v>
      </c>
      <c r="AH37" s="386">
        <v>34</v>
      </c>
      <c r="AI37" s="392">
        <v>33</v>
      </c>
      <c r="AJ37" s="621">
        <v>15.59</v>
      </c>
      <c r="AK37" s="621">
        <v>0.46900000000000003</v>
      </c>
      <c r="AL37" s="393">
        <v>45.93</v>
      </c>
      <c r="AM37" s="394">
        <v>2.74</v>
      </c>
      <c r="AN37" s="394">
        <v>76.75</v>
      </c>
      <c r="AO37" s="394">
        <v>11.8</v>
      </c>
      <c r="AP37" s="394">
        <v>56.69</v>
      </c>
      <c r="AQ37" s="335">
        <v>23.050000000000004</v>
      </c>
    </row>
    <row r="38" spans="1:43">
      <c r="A38" s="84">
        <v>38</v>
      </c>
      <c r="B38" s="86"/>
      <c r="C38" s="86"/>
      <c r="D38" s="107">
        <v>26</v>
      </c>
      <c r="E38" t="s">
        <v>103</v>
      </c>
      <c r="F38" s="135">
        <v>64.75</v>
      </c>
      <c r="G38" s="136">
        <v>36.75</v>
      </c>
      <c r="H38" s="122">
        <v>24</v>
      </c>
      <c r="I38" s="123">
        <v>4</v>
      </c>
      <c r="J38" s="126">
        <f t="shared" si="0"/>
        <v>3.1415926535897931</v>
      </c>
      <c r="K38" s="127">
        <f t="shared" si="1"/>
        <v>8.7266462599716474E-2</v>
      </c>
      <c r="L38" s="139">
        <v>28.2</v>
      </c>
      <c r="M38" s="126">
        <v>4.75</v>
      </c>
      <c r="N38" s="126">
        <f t="shared" si="2"/>
        <v>4.3373613573624086</v>
      </c>
      <c r="O38" s="126">
        <f t="shared" si="3"/>
        <v>0.12305934765038143</v>
      </c>
      <c r="P38" s="127">
        <f t="shared" si="4"/>
        <v>1.0874999999999999</v>
      </c>
      <c r="Q38" s="108">
        <v>26</v>
      </c>
      <c r="R38" t="s">
        <v>103</v>
      </c>
      <c r="S38" s="135">
        <v>64.75</v>
      </c>
      <c r="T38" s="136">
        <v>36.75</v>
      </c>
      <c r="U38" s="122">
        <v>24</v>
      </c>
      <c r="V38" s="123">
        <v>4</v>
      </c>
      <c r="W38" s="126">
        <f t="shared" si="5"/>
        <v>3.1415926535897931</v>
      </c>
      <c r="X38" s="127">
        <f t="shared" si="6"/>
        <v>8.7266462599716474E-2</v>
      </c>
      <c r="Y38" s="139">
        <v>28.2</v>
      </c>
      <c r="Z38" s="126">
        <v>4.75</v>
      </c>
      <c r="AA38" s="126">
        <f t="shared" si="7"/>
        <v>4.3373613573624086</v>
      </c>
      <c r="AB38" s="126">
        <f t="shared" si="8"/>
        <v>0.12305934765038143</v>
      </c>
      <c r="AC38" s="127">
        <f t="shared" si="9"/>
        <v>1.0874999999999999</v>
      </c>
      <c r="AE38" s="289">
        <f>IF('1-Manifold (Variable Length)'!$C$8&gt;=A38,A38,'1-Manifold (Variable Length)'!$C$8)</f>
        <v>10</v>
      </c>
      <c r="AF38" s="289">
        <f>IF('2-Manifold (Variable Length)'!$C$8&gt;=A38,A38,'2-Manifold (Variable Length)'!$C$8)</f>
        <v>6</v>
      </c>
      <c r="AH38" s="386">
        <v>35</v>
      </c>
      <c r="AI38" s="392">
        <v>34</v>
      </c>
      <c r="AJ38" s="621">
        <v>15.59</v>
      </c>
      <c r="AK38" s="621">
        <v>0.46900000000000003</v>
      </c>
      <c r="AL38" s="393">
        <v>46.23</v>
      </c>
      <c r="AM38" s="394">
        <v>2.75</v>
      </c>
      <c r="AN38" s="394">
        <v>79.47</v>
      </c>
      <c r="AO38" s="394">
        <v>12.13</v>
      </c>
      <c r="AP38" s="394">
        <v>58.88</v>
      </c>
      <c r="AQ38" s="335">
        <v>23.890000000000004</v>
      </c>
    </row>
    <row r="39" spans="1:43">
      <c r="A39" s="84">
        <v>39</v>
      </c>
      <c r="B39" s="86"/>
      <c r="C39" s="86"/>
      <c r="D39" s="107">
        <v>27</v>
      </c>
      <c r="E39" t="s">
        <v>104</v>
      </c>
      <c r="F39" s="135">
        <v>64.5</v>
      </c>
      <c r="G39" s="136">
        <v>36.5</v>
      </c>
      <c r="H39" s="122">
        <v>24</v>
      </c>
      <c r="I39" s="123">
        <v>6</v>
      </c>
      <c r="J39" s="126">
        <f t="shared" si="0"/>
        <v>3.1415926535897931</v>
      </c>
      <c r="K39" s="127">
        <f t="shared" si="1"/>
        <v>0.19634954084936207</v>
      </c>
      <c r="L39" s="139">
        <v>28.2</v>
      </c>
      <c r="M39" s="126">
        <v>7.05</v>
      </c>
      <c r="N39" s="126">
        <f t="shared" si="2"/>
        <v>4.3373613573624086</v>
      </c>
      <c r="O39" s="126">
        <f t="shared" si="3"/>
        <v>0.27108508483515054</v>
      </c>
      <c r="P39" s="127">
        <f t="shared" si="4"/>
        <v>1.0874999999999999</v>
      </c>
      <c r="Q39" s="108">
        <v>27</v>
      </c>
      <c r="R39" t="s">
        <v>104</v>
      </c>
      <c r="S39" s="135">
        <v>64.5</v>
      </c>
      <c r="T39" s="136">
        <v>36.5</v>
      </c>
      <c r="U39" s="122">
        <v>24</v>
      </c>
      <c r="V39" s="123">
        <v>6</v>
      </c>
      <c r="W39" s="126">
        <f t="shared" si="5"/>
        <v>3.1415926535897931</v>
      </c>
      <c r="X39" s="127">
        <f t="shared" si="6"/>
        <v>0.19634954084936207</v>
      </c>
      <c r="Y39" s="139">
        <v>28.2</v>
      </c>
      <c r="Z39" s="126">
        <v>7.05</v>
      </c>
      <c r="AA39" s="126">
        <f t="shared" si="7"/>
        <v>4.3373613573624086</v>
      </c>
      <c r="AB39" s="126">
        <f t="shared" si="8"/>
        <v>0.27108508483515054</v>
      </c>
      <c r="AC39" s="127">
        <f t="shared" si="9"/>
        <v>1.0874999999999999</v>
      </c>
      <c r="AE39" s="289">
        <f>IF('1-Manifold (Variable Length)'!$C$8&gt;=A39,A39,'1-Manifold (Variable Length)'!$C$8)</f>
        <v>10</v>
      </c>
      <c r="AF39" s="289">
        <f>IF('2-Manifold (Variable Length)'!$C$8&gt;=A39,A39,'2-Manifold (Variable Length)'!$C$8)</f>
        <v>6</v>
      </c>
      <c r="AH39" s="386">
        <v>36</v>
      </c>
      <c r="AI39" s="392">
        <v>35</v>
      </c>
      <c r="AJ39" s="621">
        <v>15.59</v>
      </c>
      <c r="AK39" s="621">
        <v>0.46899999999999997</v>
      </c>
      <c r="AL39" s="393">
        <v>46.36</v>
      </c>
      <c r="AM39" s="394">
        <v>2.75</v>
      </c>
      <c r="AN39" s="394">
        <v>82.14</v>
      </c>
      <c r="AO39" s="394">
        <v>12.45</v>
      </c>
      <c r="AP39" s="394">
        <v>61.05</v>
      </c>
      <c r="AQ39" s="335">
        <v>24.720000000000002</v>
      </c>
    </row>
    <row r="40" spans="1:43">
      <c r="A40" s="84">
        <v>40</v>
      </c>
      <c r="B40" s="86"/>
      <c r="C40" s="86"/>
      <c r="D40" s="107">
        <v>28</v>
      </c>
      <c r="E40" t="s">
        <v>105</v>
      </c>
      <c r="F40" s="135">
        <v>65</v>
      </c>
      <c r="G40" s="136">
        <v>37</v>
      </c>
      <c r="H40" s="122">
        <v>24</v>
      </c>
      <c r="I40" s="123">
        <v>8</v>
      </c>
      <c r="J40" s="126">
        <f t="shared" si="0"/>
        <v>3.1415926535897931</v>
      </c>
      <c r="K40" s="127">
        <f t="shared" si="1"/>
        <v>0.3490658503988659</v>
      </c>
      <c r="L40" s="139">
        <v>28.2</v>
      </c>
      <c r="M40" s="126">
        <v>9.4</v>
      </c>
      <c r="N40" s="126">
        <f t="shared" si="2"/>
        <v>4.3373613573624086</v>
      </c>
      <c r="O40" s="126">
        <f t="shared" si="3"/>
        <v>0.48192903970693424</v>
      </c>
      <c r="P40" s="127">
        <f t="shared" si="4"/>
        <v>1.0874999999999999</v>
      </c>
      <c r="Q40" s="108">
        <v>28</v>
      </c>
      <c r="R40" t="s">
        <v>105</v>
      </c>
      <c r="S40" s="135">
        <v>65</v>
      </c>
      <c r="T40" s="136">
        <v>37</v>
      </c>
      <c r="U40" s="122">
        <v>24</v>
      </c>
      <c r="V40" s="123">
        <v>8</v>
      </c>
      <c r="W40" s="126">
        <f t="shared" si="5"/>
        <v>3.1415926535897931</v>
      </c>
      <c r="X40" s="127">
        <f t="shared" si="6"/>
        <v>0.3490658503988659</v>
      </c>
      <c r="Y40" s="139">
        <v>28.2</v>
      </c>
      <c r="Z40" s="126">
        <v>9.4</v>
      </c>
      <c r="AA40" s="126">
        <f t="shared" si="7"/>
        <v>4.3373613573624086</v>
      </c>
      <c r="AB40" s="126">
        <f t="shared" si="8"/>
        <v>0.48192903970693424</v>
      </c>
      <c r="AC40" s="127">
        <f t="shared" si="9"/>
        <v>1.0874999999999999</v>
      </c>
      <c r="AE40" s="289">
        <f>IF('1-Manifold (Variable Length)'!$C$8&gt;=A40,A40,'1-Manifold (Variable Length)'!$C$8)</f>
        <v>10</v>
      </c>
      <c r="AF40" s="289">
        <f>IF('2-Manifold (Variable Length)'!$C$8&gt;=A40,A40,'2-Manifold (Variable Length)'!$C$8)</f>
        <v>6</v>
      </c>
      <c r="AH40" s="386">
        <v>37</v>
      </c>
      <c r="AI40" s="392">
        <v>36</v>
      </c>
      <c r="AJ40" s="621">
        <v>15.59</v>
      </c>
      <c r="AK40" s="621">
        <v>0.47</v>
      </c>
      <c r="AL40" s="393">
        <v>46.36</v>
      </c>
      <c r="AM40" s="394">
        <v>2.75</v>
      </c>
      <c r="AN40" s="394">
        <v>84.74</v>
      </c>
      <c r="AO40" s="394">
        <v>12.75</v>
      </c>
      <c r="AP40" s="394">
        <v>63.21</v>
      </c>
      <c r="AQ40" s="335">
        <v>25.53</v>
      </c>
    </row>
    <row r="41" spans="1:43">
      <c r="A41" s="84">
        <v>41</v>
      </c>
      <c r="B41" s="86"/>
      <c r="C41" s="86"/>
      <c r="D41" s="107">
        <v>29</v>
      </c>
      <c r="E41" t="s">
        <v>106</v>
      </c>
      <c r="F41" s="135">
        <v>65</v>
      </c>
      <c r="G41" s="136">
        <v>37</v>
      </c>
      <c r="H41" s="122">
        <v>24</v>
      </c>
      <c r="I41" s="123">
        <v>10</v>
      </c>
      <c r="J41" s="126">
        <f t="shared" si="0"/>
        <v>3.1415926535897931</v>
      </c>
      <c r="K41" s="127">
        <f t="shared" si="1"/>
        <v>0.54541539124822802</v>
      </c>
      <c r="L41" s="139">
        <v>28.2</v>
      </c>
      <c r="M41" s="126">
        <v>12</v>
      </c>
      <c r="N41" s="126">
        <f t="shared" si="2"/>
        <v>4.3373613573624086</v>
      </c>
      <c r="O41" s="126">
        <f t="shared" si="3"/>
        <v>0.78539816339744828</v>
      </c>
      <c r="P41" s="127">
        <f t="shared" si="4"/>
        <v>1.0874999999999999</v>
      </c>
      <c r="Q41" s="108">
        <v>29</v>
      </c>
      <c r="R41" t="s">
        <v>106</v>
      </c>
      <c r="S41" s="135">
        <v>65</v>
      </c>
      <c r="T41" s="136">
        <v>37</v>
      </c>
      <c r="U41" s="122">
        <v>24</v>
      </c>
      <c r="V41" s="123">
        <v>10</v>
      </c>
      <c r="W41" s="126">
        <f t="shared" si="5"/>
        <v>3.1415926535897931</v>
      </c>
      <c r="X41" s="127">
        <f t="shared" si="6"/>
        <v>0.54541539124822802</v>
      </c>
      <c r="Y41" s="139">
        <v>28.2</v>
      </c>
      <c r="Z41" s="126">
        <v>12</v>
      </c>
      <c r="AA41" s="126">
        <f t="shared" si="7"/>
        <v>4.3373613573624086</v>
      </c>
      <c r="AB41" s="126">
        <f t="shared" si="8"/>
        <v>0.78539816339744828</v>
      </c>
      <c r="AC41" s="127">
        <f t="shared" si="9"/>
        <v>1.0874999999999999</v>
      </c>
      <c r="AE41" s="289">
        <f>IF('1-Manifold (Variable Length)'!$C$8&gt;=A41,A41,'1-Manifold (Variable Length)'!$C$8)</f>
        <v>10</v>
      </c>
      <c r="AF41" s="289">
        <f>IF('2-Manifold (Variable Length)'!$C$8&gt;=A41,A41,'2-Manifold (Variable Length)'!$C$8)</f>
        <v>6</v>
      </c>
      <c r="AH41" s="386">
        <v>38</v>
      </c>
      <c r="AI41" s="392">
        <v>37</v>
      </c>
      <c r="AJ41" s="621">
        <v>15.59</v>
      </c>
      <c r="AK41" s="621">
        <v>0.47</v>
      </c>
      <c r="AL41" s="393">
        <v>46.36</v>
      </c>
      <c r="AM41" s="394">
        <v>2.75</v>
      </c>
      <c r="AN41" s="394">
        <v>87.28</v>
      </c>
      <c r="AO41" s="394">
        <v>13.03</v>
      </c>
      <c r="AP41" s="394">
        <v>65.349999999999994</v>
      </c>
      <c r="AQ41" s="335">
        <v>26.330000000000002</v>
      </c>
    </row>
    <row r="42" spans="1:43">
      <c r="A42" s="84">
        <v>42</v>
      </c>
      <c r="B42" s="86"/>
      <c r="C42" s="86"/>
      <c r="D42" s="107">
        <v>30</v>
      </c>
      <c r="E42" t="s">
        <v>107</v>
      </c>
      <c r="F42" s="135">
        <v>65.5</v>
      </c>
      <c r="G42" s="136">
        <v>37.5</v>
      </c>
      <c r="H42" s="122">
        <v>24</v>
      </c>
      <c r="I42" s="123">
        <v>12</v>
      </c>
      <c r="J42" s="126">
        <f t="shared" si="0"/>
        <v>3.1415926535897931</v>
      </c>
      <c r="K42" s="127">
        <f t="shared" si="1"/>
        <v>0.78539816339744828</v>
      </c>
      <c r="L42" s="139">
        <v>28.2</v>
      </c>
      <c r="M42" s="126">
        <v>14.58</v>
      </c>
      <c r="N42" s="126">
        <f t="shared" si="2"/>
        <v>4.3373613573624086</v>
      </c>
      <c r="O42" s="126">
        <f t="shared" si="3"/>
        <v>1.1594244037613981</v>
      </c>
      <c r="P42" s="127">
        <f t="shared" si="4"/>
        <v>1.0874999999999999</v>
      </c>
      <c r="Q42" s="108">
        <v>30</v>
      </c>
      <c r="R42" t="s">
        <v>107</v>
      </c>
      <c r="S42" s="135">
        <v>65.5</v>
      </c>
      <c r="T42" s="136">
        <v>37.5</v>
      </c>
      <c r="U42" s="122">
        <v>24</v>
      </c>
      <c r="V42" s="123">
        <v>12</v>
      </c>
      <c r="W42" s="126">
        <f t="shared" si="5"/>
        <v>3.1415926535897931</v>
      </c>
      <c r="X42" s="127">
        <f t="shared" si="6"/>
        <v>0.78539816339744828</v>
      </c>
      <c r="Y42" s="139">
        <v>28.2</v>
      </c>
      <c r="Z42" s="126">
        <v>14.58</v>
      </c>
      <c r="AA42" s="126">
        <f t="shared" si="7"/>
        <v>4.3373613573624086</v>
      </c>
      <c r="AB42" s="126">
        <f t="shared" si="8"/>
        <v>1.1594244037613981</v>
      </c>
      <c r="AC42" s="127">
        <f t="shared" si="9"/>
        <v>1.0874999999999999</v>
      </c>
      <c r="AE42" s="289">
        <f>IF('1-Manifold (Variable Length)'!$C$8&gt;=A42,A42,'1-Manifold (Variable Length)'!$C$8)</f>
        <v>10</v>
      </c>
      <c r="AF42" s="289">
        <f>IF('2-Manifold (Variable Length)'!$C$8&gt;=A42,A42,'2-Manifold (Variable Length)'!$C$8)</f>
        <v>6</v>
      </c>
      <c r="AH42" s="386">
        <v>39</v>
      </c>
      <c r="AI42" s="392">
        <v>38</v>
      </c>
      <c r="AJ42" s="621">
        <v>15.59</v>
      </c>
      <c r="AK42" s="621">
        <v>0.47</v>
      </c>
      <c r="AL42" s="393">
        <v>46.36</v>
      </c>
      <c r="AM42" s="394">
        <v>2.75</v>
      </c>
      <c r="AN42" s="394">
        <v>89.76</v>
      </c>
      <c r="AO42" s="394">
        <v>13.3</v>
      </c>
      <c r="AP42" s="394">
        <v>67.47</v>
      </c>
      <c r="AQ42" s="335">
        <v>27.110000000000003</v>
      </c>
    </row>
    <row r="43" spans="1:43">
      <c r="A43" s="84">
        <v>43</v>
      </c>
      <c r="B43" s="86"/>
      <c r="C43" s="86"/>
      <c r="D43" s="107">
        <v>31</v>
      </c>
      <c r="E43" t="s">
        <v>108</v>
      </c>
      <c r="F43" s="135">
        <v>64.25</v>
      </c>
      <c r="G43" s="136">
        <v>36.25</v>
      </c>
      <c r="H43" s="122">
        <v>24</v>
      </c>
      <c r="I43" s="123">
        <v>15</v>
      </c>
      <c r="J43" s="126">
        <f t="shared" si="0"/>
        <v>3.1415926535897931</v>
      </c>
      <c r="K43" s="127">
        <f t="shared" si="1"/>
        <v>1.227184630308513</v>
      </c>
      <c r="L43" s="139">
        <v>28.2</v>
      </c>
      <c r="M43" s="126">
        <v>17.73</v>
      </c>
      <c r="N43" s="126">
        <f t="shared" si="2"/>
        <v>4.3373613573624086</v>
      </c>
      <c r="O43" s="126">
        <f t="shared" si="3"/>
        <v>1.7145290994351507</v>
      </c>
      <c r="P43" s="127">
        <f t="shared" si="4"/>
        <v>1.0874999999999999</v>
      </c>
      <c r="Q43" s="108">
        <v>31</v>
      </c>
      <c r="R43" t="s">
        <v>108</v>
      </c>
      <c r="S43" s="135">
        <v>64.25</v>
      </c>
      <c r="T43" s="136">
        <v>36.25</v>
      </c>
      <c r="U43" s="122">
        <v>24</v>
      </c>
      <c r="V43" s="123">
        <v>15</v>
      </c>
      <c r="W43" s="126">
        <f t="shared" si="5"/>
        <v>3.1415926535897931</v>
      </c>
      <c r="X43" s="127">
        <f t="shared" si="6"/>
        <v>1.227184630308513</v>
      </c>
      <c r="Y43" s="139">
        <v>28.2</v>
      </c>
      <c r="Z43" s="126">
        <v>17.73</v>
      </c>
      <c r="AA43" s="126">
        <f t="shared" si="7"/>
        <v>4.3373613573624086</v>
      </c>
      <c r="AB43" s="126">
        <f t="shared" si="8"/>
        <v>1.7145290994351507</v>
      </c>
      <c r="AC43" s="127">
        <f t="shared" si="9"/>
        <v>1.0874999999999999</v>
      </c>
      <c r="AE43" s="289">
        <f>IF('1-Manifold (Variable Length)'!$C$8&gt;=A43,A43,'1-Manifold (Variable Length)'!$C$8)</f>
        <v>10</v>
      </c>
      <c r="AF43" s="289">
        <f>IF('2-Manifold (Variable Length)'!$C$8&gt;=A43,A43,'2-Manifold (Variable Length)'!$C$8)</f>
        <v>6</v>
      </c>
      <c r="AH43" s="386">
        <v>40</v>
      </c>
      <c r="AI43" s="392">
        <v>39</v>
      </c>
      <c r="AJ43" s="621">
        <v>15.59</v>
      </c>
      <c r="AK43" s="621">
        <v>0.47</v>
      </c>
      <c r="AL43" s="393">
        <v>46.36</v>
      </c>
      <c r="AM43" s="394">
        <v>2.75</v>
      </c>
      <c r="AN43" s="394">
        <v>92.16</v>
      </c>
      <c r="AO43" s="394">
        <v>13.55</v>
      </c>
      <c r="AP43" s="394">
        <v>69.569999999999993</v>
      </c>
      <c r="AQ43" s="335">
        <v>27.870000000000005</v>
      </c>
    </row>
    <row r="44" spans="1:43">
      <c r="A44" s="84">
        <v>44</v>
      </c>
      <c r="B44" s="85"/>
      <c r="C44" s="86"/>
      <c r="D44" s="107">
        <v>32</v>
      </c>
      <c r="E44" t="s">
        <v>109</v>
      </c>
      <c r="F44" s="135">
        <v>66.5</v>
      </c>
      <c r="G44" s="136">
        <v>38.5</v>
      </c>
      <c r="H44" s="122">
        <v>24</v>
      </c>
      <c r="I44" s="123">
        <v>18</v>
      </c>
      <c r="J44" s="126">
        <f t="shared" si="0"/>
        <v>3.1415926535897931</v>
      </c>
      <c r="K44" s="127">
        <f t="shared" si="1"/>
        <v>1.7671458676442586</v>
      </c>
      <c r="L44" s="139">
        <v>28.2</v>
      </c>
      <c r="M44" s="126">
        <v>21.45</v>
      </c>
      <c r="N44" s="126">
        <f t="shared" si="2"/>
        <v>4.3373613573624086</v>
      </c>
      <c r="O44" s="126">
        <f t="shared" si="3"/>
        <v>2.5094698505178781</v>
      </c>
      <c r="P44" s="127">
        <f t="shared" si="4"/>
        <v>1.0874999999999999</v>
      </c>
      <c r="Q44" s="108">
        <v>32</v>
      </c>
      <c r="R44" t="s">
        <v>109</v>
      </c>
      <c r="S44" s="135">
        <v>66.5</v>
      </c>
      <c r="T44" s="136">
        <v>38.5</v>
      </c>
      <c r="U44" s="122">
        <v>24</v>
      </c>
      <c r="V44" s="123">
        <v>18</v>
      </c>
      <c r="W44" s="126">
        <f t="shared" si="5"/>
        <v>3.1415926535897931</v>
      </c>
      <c r="X44" s="127">
        <f t="shared" si="6"/>
        <v>1.7671458676442586</v>
      </c>
      <c r="Y44" s="139">
        <v>28.2</v>
      </c>
      <c r="Z44" s="126">
        <v>21.45</v>
      </c>
      <c r="AA44" s="126">
        <f t="shared" si="7"/>
        <v>4.3373613573624086</v>
      </c>
      <c r="AB44" s="126">
        <f t="shared" si="8"/>
        <v>2.5094698505178781</v>
      </c>
      <c r="AC44" s="127">
        <f t="shared" si="9"/>
        <v>1.0874999999999999</v>
      </c>
      <c r="AE44" s="289">
        <f>IF('1-Manifold (Variable Length)'!$C$8&gt;=A44,A44,'1-Manifold (Variable Length)'!$C$8)</f>
        <v>10</v>
      </c>
      <c r="AF44" s="289">
        <f>IF('2-Manifold (Variable Length)'!$C$8&gt;=A44,A44,'2-Manifold (Variable Length)'!$C$8)</f>
        <v>6</v>
      </c>
      <c r="AH44" s="386">
        <v>41</v>
      </c>
      <c r="AI44" s="392">
        <v>40</v>
      </c>
      <c r="AJ44" s="621">
        <v>15.59</v>
      </c>
      <c r="AK44" s="621">
        <v>0.47</v>
      </c>
      <c r="AL44" s="393">
        <v>46.36</v>
      </c>
      <c r="AM44" s="394">
        <v>2.75</v>
      </c>
      <c r="AN44" s="394">
        <v>94.5</v>
      </c>
      <c r="AO44" s="394">
        <v>13.78</v>
      </c>
      <c r="AP44" s="394">
        <v>71.650000000000006</v>
      </c>
      <c r="AQ44" s="335">
        <v>28.620000000000005</v>
      </c>
    </row>
    <row r="45" spans="1:43">
      <c r="A45" s="84">
        <v>45</v>
      </c>
      <c r="B45" s="85"/>
      <c r="C45" s="86"/>
      <c r="D45" s="107">
        <v>33</v>
      </c>
      <c r="E45" t="s">
        <v>138</v>
      </c>
      <c r="F45" s="135">
        <v>66.67</v>
      </c>
      <c r="G45" s="136">
        <v>38.47</v>
      </c>
      <c r="H45" s="122">
        <v>24</v>
      </c>
      <c r="I45" s="528">
        <v>24</v>
      </c>
      <c r="J45" s="126">
        <f t="shared" si="0"/>
        <v>3.1415926535897931</v>
      </c>
      <c r="K45" s="127">
        <f t="shared" si="1"/>
        <v>3.1415926535897931</v>
      </c>
      <c r="L45" s="139">
        <v>28.2</v>
      </c>
      <c r="M45" s="126">
        <v>28.2</v>
      </c>
      <c r="N45" s="126">
        <f t="shared" si="2"/>
        <v>4.3373613573624086</v>
      </c>
      <c r="O45" s="126">
        <f t="shared" si="3"/>
        <v>4.3373613573624086</v>
      </c>
      <c r="P45" s="127">
        <f t="shared" si="4"/>
        <v>1.0874999999999999</v>
      </c>
      <c r="Q45" s="108">
        <v>33</v>
      </c>
      <c r="R45" t="s">
        <v>138</v>
      </c>
      <c r="S45" s="135">
        <v>67.25</v>
      </c>
      <c r="T45" s="136">
        <v>39.25</v>
      </c>
      <c r="U45" s="122">
        <v>24</v>
      </c>
      <c r="V45" s="123">
        <v>24</v>
      </c>
      <c r="W45" s="126">
        <f t="shared" si="5"/>
        <v>3.1415926535897931</v>
      </c>
      <c r="X45" s="127">
        <f t="shared" si="6"/>
        <v>3.1415926535897931</v>
      </c>
      <c r="Y45" s="139">
        <v>28.2</v>
      </c>
      <c r="Z45" s="126">
        <v>28.2</v>
      </c>
      <c r="AA45" s="126">
        <f t="shared" si="7"/>
        <v>4.3373613573624086</v>
      </c>
      <c r="AB45" s="126">
        <f t="shared" si="8"/>
        <v>4.3373613573624086</v>
      </c>
      <c r="AC45" s="127">
        <f t="shared" si="9"/>
        <v>1.0874999999999999</v>
      </c>
      <c r="AE45" s="289">
        <f>IF('1-Manifold (Variable Length)'!$C$8&gt;=A45,A45,'1-Manifold (Variable Length)'!$C$8)</f>
        <v>10</v>
      </c>
      <c r="AF45" s="289">
        <f>IF('2-Manifold (Variable Length)'!$C$8&gt;=A45,A45,'2-Manifold (Variable Length)'!$C$8)</f>
        <v>6</v>
      </c>
      <c r="AH45" s="386">
        <v>42</v>
      </c>
      <c r="AI45" s="392">
        <v>41</v>
      </c>
      <c r="AJ45" s="621">
        <v>15.59</v>
      </c>
      <c r="AK45" s="621">
        <v>0.47</v>
      </c>
      <c r="AL45" s="393">
        <v>46.36</v>
      </c>
      <c r="AM45" s="394">
        <v>2.75</v>
      </c>
      <c r="AN45" s="394">
        <v>96.75</v>
      </c>
      <c r="AO45" s="394">
        <v>14</v>
      </c>
      <c r="AP45" s="394">
        <v>73.709999999999994</v>
      </c>
      <c r="AQ45" s="335">
        <v>29.350000000000005</v>
      </c>
    </row>
    <row r="46" spans="1:43">
      <c r="A46" s="84">
        <v>46</v>
      </c>
      <c r="B46" s="85"/>
      <c r="C46" s="86"/>
      <c r="D46" s="107">
        <v>34</v>
      </c>
      <c r="E46" t="s">
        <v>110</v>
      </c>
      <c r="F46" s="135">
        <v>71.25</v>
      </c>
      <c r="G46" s="136">
        <v>36.75</v>
      </c>
      <c r="H46" s="122">
        <v>30</v>
      </c>
      <c r="I46" s="123">
        <v>4</v>
      </c>
      <c r="J46" s="126">
        <f t="shared" si="0"/>
        <v>4.908738521234052</v>
      </c>
      <c r="K46" s="127">
        <f t="shared" si="1"/>
        <v>8.7266462599716474E-2</v>
      </c>
      <c r="L46" s="139">
        <v>34.89</v>
      </c>
      <c r="M46" s="126">
        <v>4.75</v>
      </c>
      <c r="N46" s="126">
        <f t="shared" si="2"/>
        <v>6.6394075529270218</v>
      </c>
      <c r="O46" s="126">
        <f t="shared" si="3"/>
        <v>0.12305934765038143</v>
      </c>
      <c r="P46" s="127">
        <f t="shared" si="4"/>
        <v>1.2268750000000004</v>
      </c>
      <c r="Q46" s="108">
        <v>34</v>
      </c>
      <c r="R46" t="s">
        <v>110</v>
      </c>
      <c r="S46" s="135">
        <v>71.25</v>
      </c>
      <c r="T46" s="136">
        <v>36.75</v>
      </c>
      <c r="U46" s="122">
        <v>30</v>
      </c>
      <c r="V46" s="123">
        <v>4</v>
      </c>
      <c r="W46" s="126">
        <f t="shared" si="5"/>
        <v>4.908738521234052</v>
      </c>
      <c r="X46" s="127">
        <f t="shared" si="6"/>
        <v>8.7266462599716474E-2</v>
      </c>
      <c r="Y46" s="139">
        <v>34.89</v>
      </c>
      <c r="Z46" s="126">
        <v>4.75</v>
      </c>
      <c r="AA46" s="126">
        <f t="shared" si="7"/>
        <v>6.6394075529270218</v>
      </c>
      <c r="AB46" s="126">
        <f t="shared" si="8"/>
        <v>0.12305934765038143</v>
      </c>
      <c r="AC46" s="127">
        <f t="shared" si="9"/>
        <v>1.2268750000000004</v>
      </c>
      <c r="AE46" s="289">
        <f>IF('1-Manifold (Variable Length)'!$C$8&gt;=A46,A46,'1-Manifold (Variable Length)'!$C$8)</f>
        <v>10</v>
      </c>
      <c r="AF46" s="289">
        <f>IF('2-Manifold (Variable Length)'!$C$8&gt;=A46,A46,'2-Manifold (Variable Length)'!$C$8)</f>
        <v>6</v>
      </c>
      <c r="AH46" s="386">
        <v>43</v>
      </c>
      <c r="AI46" s="392">
        <v>42</v>
      </c>
      <c r="AJ46" s="621">
        <v>15.59</v>
      </c>
      <c r="AK46" s="621">
        <v>0.47</v>
      </c>
      <c r="AL46" s="393">
        <v>46.36</v>
      </c>
      <c r="AM46" s="394">
        <v>2.75</v>
      </c>
      <c r="AN46" s="394">
        <v>98.93</v>
      </c>
      <c r="AO46" s="394">
        <v>14.2</v>
      </c>
      <c r="AP46" s="394">
        <v>75.75</v>
      </c>
      <c r="AQ46" s="335">
        <v>30.060000000000006</v>
      </c>
    </row>
    <row r="47" spans="1:43">
      <c r="A47" s="84">
        <v>47</v>
      </c>
      <c r="B47" s="85"/>
      <c r="C47" s="86"/>
      <c r="D47" s="107">
        <v>35</v>
      </c>
      <c r="E47" t="s">
        <v>111</v>
      </c>
      <c r="F47" s="135">
        <v>71</v>
      </c>
      <c r="G47" s="136">
        <v>36.5</v>
      </c>
      <c r="H47" s="122">
        <v>30</v>
      </c>
      <c r="I47" s="123">
        <v>6</v>
      </c>
      <c r="J47" s="126">
        <f t="shared" si="0"/>
        <v>4.908738521234052</v>
      </c>
      <c r="K47" s="127">
        <f t="shared" si="1"/>
        <v>0.19634954084936207</v>
      </c>
      <c r="L47" s="139">
        <v>34.89</v>
      </c>
      <c r="M47" s="126">
        <v>7.05</v>
      </c>
      <c r="N47" s="126">
        <f t="shared" si="2"/>
        <v>6.6394075529270218</v>
      </c>
      <c r="O47" s="126">
        <f t="shared" si="3"/>
        <v>0.27108508483515054</v>
      </c>
      <c r="P47" s="127">
        <f t="shared" si="4"/>
        <v>1.2268750000000004</v>
      </c>
      <c r="Q47" s="108">
        <v>35</v>
      </c>
      <c r="R47" t="s">
        <v>111</v>
      </c>
      <c r="S47" s="135">
        <v>71</v>
      </c>
      <c r="T47" s="136">
        <v>36.5</v>
      </c>
      <c r="U47" s="122">
        <v>30</v>
      </c>
      <c r="V47" s="123">
        <v>6</v>
      </c>
      <c r="W47" s="126">
        <f t="shared" si="5"/>
        <v>4.908738521234052</v>
      </c>
      <c r="X47" s="127">
        <f t="shared" si="6"/>
        <v>0.19634954084936207</v>
      </c>
      <c r="Y47" s="139">
        <v>34.89</v>
      </c>
      <c r="Z47" s="126">
        <v>7.05</v>
      </c>
      <c r="AA47" s="126">
        <f t="shared" si="7"/>
        <v>6.6394075529270218</v>
      </c>
      <c r="AB47" s="126">
        <f t="shared" si="8"/>
        <v>0.27108508483515054</v>
      </c>
      <c r="AC47" s="127">
        <f t="shared" si="9"/>
        <v>1.2268750000000004</v>
      </c>
      <c r="AE47" s="289">
        <f>IF('1-Manifold (Variable Length)'!$C$8&gt;=A47,A47,'1-Manifold (Variable Length)'!$C$8)</f>
        <v>10</v>
      </c>
      <c r="AF47" s="289">
        <f>IF('2-Manifold (Variable Length)'!$C$8&gt;=A47,A47,'2-Manifold (Variable Length)'!$C$8)</f>
        <v>6</v>
      </c>
      <c r="AH47" s="386">
        <v>44</v>
      </c>
      <c r="AI47" s="392">
        <v>43</v>
      </c>
      <c r="AJ47" s="621">
        <v>15.59</v>
      </c>
      <c r="AK47" s="621">
        <v>0.47</v>
      </c>
      <c r="AL47" s="393">
        <v>46.36</v>
      </c>
      <c r="AM47" s="394">
        <v>2.75</v>
      </c>
      <c r="AN47" s="394">
        <v>101.01</v>
      </c>
      <c r="AO47" s="394">
        <v>14.39</v>
      </c>
      <c r="AP47" s="394">
        <v>77.760000000000005</v>
      </c>
      <c r="AQ47" s="335">
        <v>30.750000000000007</v>
      </c>
    </row>
    <row r="48" spans="1:43">
      <c r="A48" s="84">
        <v>48</v>
      </c>
      <c r="B48" s="85"/>
      <c r="C48" s="86"/>
      <c r="D48" s="107">
        <v>36</v>
      </c>
      <c r="E48" t="s">
        <v>112</v>
      </c>
      <c r="F48" s="135">
        <v>71.5</v>
      </c>
      <c r="G48" s="136">
        <v>37</v>
      </c>
      <c r="H48" s="122">
        <v>30</v>
      </c>
      <c r="I48" s="123">
        <v>8</v>
      </c>
      <c r="J48" s="126">
        <f t="shared" si="0"/>
        <v>4.908738521234052</v>
      </c>
      <c r="K48" s="127">
        <f t="shared" si="1"/>
        <v>0.3490658503988659</v>
      </c>
      <c r="L48" s="139">
        <v>34.89</v>
      </c>
      <c r="M48" s="126">
        <v>9.4</v>
      </c>
      <c r="N48" s="126">
        <f t="shared" si="2"/>
        <v>6.6394075529270218</v>
      </c>
      <c r="O48" s="126">
        <f t="shared" si="3"/>
        <v>0.48192903970693424</v>
      </c>
      <c r="P48" s="127">
        <f t="shared" si="4"/>
        <v>1.2268750000000004</v>
      </c>
      <c r="Q48" s="108">
        <v>36</v>
      </c>
      <c r="R48" t="s">
        <v>112</v>
      </c>
      <c r="S48" s="135">
        <v>71.5</v>
      </c>
      <c r="T48" s="136">
        <v>37</v>
      </c>
      <c r="U48" s="122">
        <v>30</v>
      </c>
      <c r="V48" s="123">
        <v>8</v>
      </c>
      <c r="W48" s="126">
        <f t="shared" si="5"/>
        <v>4.908738521234052</v>
      </c>
      <c r="X48" s="127">
        <f t="shared" si="6"/>
        <v>0.3490658503988659</v>
      </c>
      <c r="Y48" s="139">
        <v>34.89</v>
      </c>
      <c r="Z48" s="126">
        <v>9.4</v>
      </c>
      <c r="AA48" s="126">
        <f t="shared" si="7"/>
        <v>6.6394075529270218</v>
      </c>
      <c r="AB48" s="126">
        <f t="shared" si="8"/>
        <v>0.48192903970693424</v>
      </c>
      <c r="AC48" s="127">
        <f t="shared" si="9"/>
        <v>1.2268750000000004</v>
      </c>
      <c r="AE48" s="289">
        <f>IF('1-Manifold (Variable Length)'!$C$8&gt;=A48,A48,'1-Manifold (Variable Length)'!$C$8)</f>
        <v>10</v>
      </c>
      <c r="AF48" s="289">
        <f>IF('2-Manifold (Variable Length)'!$C$8&gt;=A48,A48,'2-Manifold (Variable Length)'!$C$8)</f>
        <v>6</v>
      </c>
      <c r="AH48" s="386">
        <v>45</v>
      </c>
      <c r="AI48" s="392">
        <v>44</v>
      </c>
      <c r="AJ48" s="621">
        <v>15.59</v>
      </c>
      <c r="AK48" s="621">
        <v>0.47</v>
      </c>
      <c r="AL48" s="393">
        <v>46.36</v>
      </c>
      <c r="AM48" s="394">
        <v>2.75</v>
      </c>
      <c r="AN48" s="394">
        <v>103</v>
      </c>
      <c r="AO48" s="394">
        <v>14.56</v>
      </c>
      <c r="AP48" s="394">
        <v>79.739999999999995</v>
      </c>
      <c r="AQ48" s="335">
        <v>31.420000000000009</v>
      </c>
    </row>
    <row r="49" spans="1:43">
      <c r="A49" s="84">
        <v>49</v>
      </c>
      <c r="B49" s="86"/>
      <c r="C49" s="86"/>
      <c r="D49" s="107">
        <v>37</v>
      </c>
      <c r="E49" t="s">
        <v>113</v>
      </c>
      <c r="F49" s="135">
        <v>71.5</v>
      </c>
      <c r="G49" s="136">
        <v>37</v>
      </c>
      <c r="H49" s="122">
        <v>30</v>
      </c>
      <c r="I49" s="123">
        <v>10</v>
      </c>
      <c r="J49" s="126">
        <f t="shared" si="0"/>
        <v>4.908738521234052</v>
      </c>
      <c r="K49" s="127">
        <f t="shared" si="1"/>
        <v>0.54541539124822802</v>
      </c>
      <c r="L49" s="139">
        <v>34.89</v>
      </c>
      <c r="M49" s="126">
        <v>12</v>
      </c>
      <c r="N49" s="126">
        <f t="shared" si="2"/>
        <v>6.6394075529270218</v>
      </c>
      <c r="O49" s="126">
        <f t="shared" si="3"/>
        <v>0.78539816339744828</v>
      </c>
      <c r="P49" s="127">
        <f t="shared" si="4"/>
        <v>1.2268750000000004</v>
      </c>
      <c r="Q49" s="108">
        <v>37</v>
      </c>
      <c r="R49" t="s">
        <v>113</v>
      </c>
      <c r="S49" s="135">
        <v>71.5</v>
      </c>
      <c r="T49" s="136">
        <v>37</v>
      </c>
      <c r="U49" s="122">
        <v>30</v>
      </c>
      <c r="V49" s="123">
        <v>10</v>
      </c>
      <c r="W49" s="126">
        <f t="shared" si="5"/>
        <v>4.908738521234052</v>
      </c>
      <c r="X49" s="127">
        <f t="shared" si="6"/>
        <v>0.54541539124822802</v>
      </c>
      <c r="Y49" s="139">
        <v>34.89</v>
      </c>
      <c r="Z49" s="126">
        <v>12</v>
      </c>
      <c r="AA49" s="126">
        <f t="shared" si="7"/>
        <v>6.6394075529270218</v>
      </c>
      <c r="AB49" s="126">
        <f t="shared" si="8"/>
        <v>0.78539816339744828</v>
      </c>
      <c r="AC49" s="127">
        <f t="shared" si="9"/>
        <v>1.2268750000000004</v>
      </c>
      <c r="AE49" s="289">
        <f>IF('1-Manifold (Variable Length)'!$C$8&gt;=A49,A49,'1-Manifold (Variable Length)'!$C$8)</f>
        <v>10</v>
      </c>
      <c r="AF49" s="289">
        <f>IF('2-Manifold (Variable Length)'!$C$8&gt;=A49,A49,'2-Manifold (Variable Length)'!$C$8)</f>
        <v>6</v>
      </c>
      <c r="AH49" s="386">
        <v>46</v>
      </c>
      <c r="AI49" s="392">
        <v>45</v>
      </c>
      <c r="AJ49" s="621">
        <v>15.59</v>
      </c>
      <c r="AK49" s="621">
        <v>0.47</v>
      </c>
      <c r="AL49" s="393">
        <v>46.36</v>
      </c>
      <c r="AM49" s="394">
        <v>2.75</v>
      </c>
      <c r="AN49" s="394">
        <v>104.87</v>
      </c>
      <c r="AO49" s="394">
        <v>14.72</v>
      </c>
      <c r="AP49" s="394">
        <v>81.69</v>
      </c>
      <c r="AQ49" s="335">
        <v>32.070000000000007</v>
      </c>
    </row>
    <row r="50" spans="1:43">
      <c r="A50" s="84">
        <v>50</v>
      </c>
      <c r="B50" s="86"/>
      <c r="C50" s="86"/>
      <c r="D50" s="107">
        <v>38</v>
      </c>
      <c r="E50" t="s">
        <v>114</v>
      </c>
      <c r="F50" s="135">
        <v>72</v>
      </c>
      <c r="G50" s="136">
        <v>37.5</v>
      </c>
      <c r="H50" s="122">
        <v>30</v>
      </c>
      <c r="I50" s="123">
        <v>12</v>
      </c>
      <c r="J50" s="126">
        <f t="shared" si="0"/>
        <v>4.908738521234052</v>
      </c>
      <c r="K50" s="127">
        <f t="shared" si="1"/>
        <v>0.78539816339744828</v>
      </c>
      <c r="L50" s="139">
        <v>34.89</v>
      </c>
      <c r="M50" s="126">
        <v>14.58</v>
      </c>
      <c r="N50" s="126">
        <f t="shared" si="2"/>
        <v>6.6394075529270218</v>
      </c>
      <c r="O50" s="126">
        <f t="shared" si="3"/>
        <v>1.1594244037613981</v>
      </c>
      <c r="P50" s="127">
        <f t="shared" si="4"/>
        <v>1.2268750000000004</v>
      </c>
      <c r="Q50" s="108">
        <v>38</v>
      </c>
      <c r="R50" t="s">
        <v>114</v>
      </c>
      <c r="S50" s="135">
        <v>72</v>
      </c>
      <c r="T50" s="136">
        <v>37.5</v>
      </c>
      <c r="U50" s="122">
        <v>30</v>
      </c>
      <c r="V50" s="123">
        <v>12</v>
      </c>
      <c r="W50" s="126">
        <f t="shared" si="5"/>
        <v>4.908738521234052</v>
      </c>
      <c r="X50" s="127">
        <f t="shared" si="6"/>
        <v>0.78539816339744828</v>
      </c>
      <c r="Y50" s="139">
        <v>34.89</v>
      </c>
      <c r="Z50" s="126">
        <v>14.58</v>
      </c>
      <c r="AA50" s="126">
        <f t="shared" si="7"/>
        <v>6.6394075529270218</v>
      </c>
      <c r="AB50" s="126">
        <f t="shared" si="8"/>
        <v>1.1594244037613981</v>
      </c>
      <c r="AC50" s="127">
        <f t="shared" si="9"/>
        <v>1.2268750000000004</v>
      </c>
      <c r="AE50" s="289">
        <f>IF('1-Manifold (Variable Length)'!$C$8&gt;=A50,A50,'1-Manifold (Variable Length)'!$C$8)</f>
        <v>10</v>
      </c>
      <c r="AF50" s="289">
        <f>IF('2-Manifold (Variable Length)'!$C$8&gt;=A50,A50,'2-Manifold (Variable Length)'!$C$8)</f>
        <v>6</v>
      </c>
      <c r="AH50" s="386">
        <v>47</v>
      </c>
      <c r="AI50" s="392">
        <v>46</v>
      </c>
      <c r="AJ50" s="621">
        <v>15.59</v>
      </c>
      <c r="AK50" s="621">
        <v>0.47</v>
      </c>
      <c r="AL50" s="393">
        <v>46.36</v>
      </c>
      <c r="AM50" s="394">
        <v>2.75</v>
      </c>
      <c r="AN50" s="394">
        <v>106.63</v>
      </c>
      <c r="AO50" s="394">
        <v>14.87</v>
      </c>
      <c r="AP50" s="394">
        <v>83.61</v>
      </c>
      <c r="AQ50" s="335">
        <v>32.690000000000005</v>
      </c>
    </row>
    <row r="51" spans="1:43">
      <c r="A51" s="84">
        <v>51</v>
      </c>
      <c r="B51" s="86"/>
      <c r="C51" s="86"/>
      <c r="D51" s="107">
        <v>39</v>
      </c>
      <c r="E51" t="s">
        <v>115</v>
      </c>
      <c r="F51" s="135">
        <v>70.75</v>
      </c>
      <c r="G51" s="136">
        <v>36.25</v>
      </c>
      <c r="H51" s="122">
        <v>30</v>
      </c>
      <c r="I51" s="123">
        <v>15</v>
      </c>
      <c r="J51" s="126">
        <f t="shared" si="0"/>
        <v>4.908738521234052</v>
      </c>
      <c r="K51" s="127">
        <f t="shared" si="1"/>
        <v>1.227184630308513</v>
      </c>
      <c r="L51" s="139">
        <v>34.89</v>
      </c>
      <c r="M51" s="126">
        <v>17.73</v>
      </c>
      <c r="N51" s="126">
        <f t="shared" si="2"/>
        <v>6.6394075529270218</v>
      </c>
      <c r="O51" s="126">
        <f t="shared" si="3"/>
        <v>1.7145290994351507</v>
      </c>
      <c r="P51" s="127">
        <f t="shared" si="4"/>
        <v>1.2268750000000004</v>
      </c>
      <c r="Q51" s="108">
        <v>39</v>
      </c>
      <c r="R51" t="s">
        <v>115</v>
      </c>
      <c r="S51" s="135">
        <v>70.75</v>
      </c>
      <c r="T51" s="136">
        <v>36.25</v>
      </c>
      <c r="U51" s="122">
        <v>30</v>
      </c>
      <c r="V51" s="123">
        <v>15</v>
      </c>
      <c r="W51" s="126">
        <f t="shared" si="5"/>
        <v>4.908738521234052</v>
      </c>
      <c r="X51" s="127">
        <f t="shared" si="6"/>
        <v>1.227184630308513</v>
      </c>
      <c r="Y51" s="139">
        <v>34.89</v>
      </c>
      <c r="Z51" s="126">
        <v>17.73</v>
      </c>
      <c r="AA51" s="126">
        <f t="shared" si="7"/>
        <v>6.6394075529270218</v>
      </c>
      <c r="AB51" s="126">
        <f t="shared" si="8"/>
        <v>1.7145290994351507</v>
      </c>
      <c r="AC51" s="127">
        <f t="shared" si="9"/>
        <v>1.2268750000000004</v>
      </c>
      <c r="AE51" s="289">
        <f>IF('1-Manifold (Variable Length)'!$C$8&gt;=A51,A51,'1-Manifold (Variable Length)'!$C$8)</f>
        <v>10</v>
      </c>
      <c r="AF51" s="289">
        <f>IF('2-Manifold (Variable Length)'!$C$8&gt;=A51,A51,'2-Manifold (Variable Length)'!$C$8)</f>
        <v>6</v>
      </c>
      <c r="AH51" s="386">
        <v>48</v>
      </c>
      <c r="AI51" s="392">
        <v>47</v>
      </c>
      <c r="AJ51" s="621">
        <v>15.59</v>
      </c>
      <c r="AK51" s="621">
        <v>0.47</v>
      </c>
      <c r="AL51" s="393">
        <v>46.36</v>
      </c>
      <c r="AM51" s="394">
        <v>2.75</v>
      </c>
      <c r="AN51" s="394">
        <v>108.25</v>
      </c>
      <c r="AO51" s="394">
        <v>14.99</v>
      </c>
      <c r="AP51" s="394">
        <v>85.5</v>
      </c>
      <c r="AQ51" s="335">
        <v>33.290000000000006</v>
      </c>
    </row>
    <row r="52" spans="1:43">
      <c r="A52" s="84">
        <v>52</v>
      </c>
      <c r="B52" s="86"/>
      <c r="C52" s="86"/>
      <c r="D52" s="107">
        <v>40</v>
      </c>
      <c r="E52" t="s">
        <v>116</v>
      </c>
      <c r="F52" s="135">
        <v>73</v>
      </c>
      <c r="G52" s="136">
        <v>38.5</v>
      </c>
      <c r="H52" s="122">
        <v>30</v>
      </c>
      <c r="I52" s="123">
        <v>18</v>
      </c>
      <c r="J52" s="126">
        <f t="shared" si="0"/>
        <v>4.908738521234052</v>
      </c>
      <c r="K52" s="127">
        <f t="shared" si="1"/>
        <v>1.7671458676442586</v>
      </c>
      <c r="L52" s="139">
        <v>34.89</v>
      </c>
      <c r="M52" s="126">
        <v>21.45</v>
      </c>
      <c r="N52" s="126">
        <f t="shared" si="2"/>
        <v>6.6394075529270218</v>
      </c>
      <c r="O52" s="126">
        <f t="shared" si="3"/>
        <v>2.5094698505178781</v>
      </c>
      <c r="P52" s="127">
        <f t="shared" si="4"/>
        <v>1.2268750000000004</v>
      </c>
      <c r="Q52" s="108">
        <v>40</v>
      </c>
      <c r="R52" t="s">
        <v>116</v>
      </c>
      <c r="S52" s="135">
        <v>73</v>
      </c>
      <c r="T52" s="136">
        <v>38.5</v>
      </c>
      <c r="U52" s="122">
        <v>30</v>
      </c>
      <c r="V52" s="123">
        <v>18</v>
      </c>
      <c r="W52" s="126">
        <f t="shared" si="5"/>
        <v>4.908738521234052</v>
      </c>
      <c r="X52" s="127">
        <f t="shared" si="6"/>
        <v>1.7671458676442586</v>
      </c>
      <c r="Y52" s="139">
        <v>34.89</v>
      </c>
      <c r="Z52" s="126">
        <v>21</v>
      </c>
      <c r="AA52" s="126">
        <f t="shared" si="7"/>
        <v>6.6394075529270218</v>
      </c>
      <c r="AB52" s="126">
        <f t="shared" si="8"/>
        <v>2.4052818754046852</v>
      </c>
      <c r="AC52" s="127">
        <f t="shared" si="9"/>
        <v>1.2268750000000004</v>
      </c>
      <c r="AE52" s="289">
        <f>IF('1-Manifold (Variable Length)'!$C$8&gt;=A52,A52,'1-Manifold (Variable Length)'!$C$8)</f>
        <v>10</v>
      </c>
      <c r="AF52" s="289">
        <f>IF('2-Manifold (Variable Length)'!$C$8&gt;=A52,A52,'2-Manifold (Variable Length)'!$C$8)</f>
        <v>6</v>
      </c>
      <c r="AH52" s="386">
        <v>49</v>
      </c>
      <c r="AI52" s="392">
        <v>48</v>
      </c>
      <c r="AJ52" s="621">
        <v>15.59</v>
      </c>
      <c r="AK52" s="621">
        <v>0.47</v>
      </c>
      <c r="AL52" s="393">
        <v>46.36</v>
      </c>
      <c r="AM52" s="394">
        <v>2.75</v>
      </c>
      <c r="AN52" s="394">
        <v>109.71</v>
      </c>
      <c r="AO52" s="394">
        <v>15.09</v>
      </c>
      <c r="AP52" s="394">
        <v>87.35</v>
      </c>
      <c r="AQ52" s="335">
        <v>33.870000000000005</v>
      </c>
    </row>
    <row r="53" spans="1:43">
      <c r="A53" s="84">
        <v>53</v>
      </c>
      <c r="B53" s="86"/>
      <c r="C53" s="86"/>
      <c r="D53" s="107">
        <v>41</v>
      </c>
      <c r="E53" t="s">
        <v>139</v>
      </c>
      <c r="F53" s="135">
        <v>73.36</v>
      </c>
      <c r="G53" s="136">
        <v>38.47</v>
      </c>
      <c r="H53" s="122">
        <v>30</v>
      </c>
      <c r="I53" s="528">
        <v>24</v>
      </c>
      <c r="J53" s="126">
        <f t="shared" si="0"/>
        <v>4.908738521234052</v>
      </c>
      <c r="K53" s="127">
        <f t="shared" si="1"/>
        <v>3.1415926535897931</v>
      </c>
      <c r="L53" s="139">
        <v>34.89</v>
      </c>
      <c r="M53" s="126">
        <v>28.2</v>
      </c>
      <c r="N53" s="126">
        <f t="shared" si="2"/>
        <v>6.6394075529270218</v>
      </c>
      <c r="O53" s="126">
        <f t="shared" si="3"/>
        <v>4.3373613573624086</v>
      </c>
      <c r="P53" s="127">
        <f t="shared" si="4"/>
        <v>1.2268750000000004</v>
      </c>
      <c r="Q53" s="108">
        <v>41</v>
      </c>
      <c r="R53" t="s">
        <v>139</v>
      </c>
      <c r="S53" s="135">
        <v>73.75</v>
      </c>
      <c r="T53" s="136">
        <v>39.25</v>
      </c>
      <c r="U53" s="122">
        <v>30</v>
      </c>
      <c r="V53" s="123">
        <v>24</v>
      </c>
      <c r="W53" s="126">
        <f t="shared" si="5"/>
        <v>4.908738521234052</v>
      </c>
      <c r="X53" s="127">
        <f t="shared" si="6"/>
        <v>3.1415926535897931</v>
      </c>
      <c r="Y53" s="139">
        <v>34.89</v>
      </c>
      <c r="Z53" s="126">
        <v>45</v>
      </c>
      <c r="AA53" s="126">
        <f t="shared" si="7"/>
        <v>6.6394075529270218</v>
      </c>
      <c r="AB53" s="126">
        <f t="shared" si="8"/>
        <v>11.044661672776616</v>
      </c>
      <c r="AC53" s="127">
        <f t="shared" si="9"/>
        <v>1.2268750000000004</v>
      </c>
      <c r="AE53" s="289">
        <f>IF('1-Manifold (Variable Length)'!$C$8&gt;=A53,A53,'1-Manifold (Variable Length)'!$C$8)</f>
        <v>10</v>
      </c>
      <c r="AF53" s="289">
        <f>IF('2-Manifold (Variable Length)'!$C$8&gt;=A53,A53,'2-Manifold (Variable Length)'!$C$8)</f>
        <v>6</v>
      </c>
      <c r="AH53" s="386">
        <v>50</v>
      </c>
      <c r="AI53" s="392">
        <v>49</v>
      </c>
      <c r="AJ53" s="621">
        <v>15.59</v>
      </c>
      <c r="AK53" s="621">
        <v>0.47</v>
      </c>
      <c r="AL53" s="393">
        <v>46.36</v>
      </c>
      <c r="AM53" s="394">
        <v>2.75</v>
      </c>
      <c r="AN53" s="394">
        <v>110.98</v>
      </c>
      <c r="AO53" s="394">
        <v>15.17</v>
      </c>
      <c r="AP53" s="394">
        <v>89.16</v>
      </c>
      <c r="AQ53" s="335">
        <v>34.430000000000007</v>
      </c>
    </row>
    <row r="54" spans="1:43">
      <c r="A54" s="84">
        <v>54</v>
      </c>
      <c r="B54" s="86"/>
      <c r="C54" s="86"/>
      <c r="D54" s="107">
        <v>42</v>
      </c>
      <c r="E54" t="s">
        <v>117</v>
      </c>
      <c r="F54" s="135">
        <v>77.75</v>
      </c>
      <c r="G54" s="136">
        <v>36.75</v>
      </c>
      <c r="H54" s="122">
        <v>36</v>
      </c>
      <c r="I54" s="123">
        <v>4</v>
      </c>
      <c r="J54" s="126">
        <f t="shared" si="0"/>
        <v>7.0685834705770345</v>
      </c>
      <c r="K54" s="127">
        <f t="shared" si="1"/>
        <v>8.7266462599716474E-2</v>
      </c>
      <c r="L54" s="139">
        <v>40.9</v>
      </c>
      <c r="M54" s="126">
        <v>4.75</v>
      </c>
      <c r="N54" s="126">
        <f t="shared" si="2"/>
        <v>9.1237632063394827</v>
      </c>
      <c r="O54" s="126">
        <f t="shared" si="3"/>
        <v>0.12305934765038143</v>
      </c>
      <c r="P54" s="127">
        <f t="shared" si="4"/>
        <v>1.3520833333333331</v>
      </c>
      <c r="Q54" s="108">
        <v>42</v>
      </c>
      <c r="R54" t="s">
        <v>140</v>
      </c>
      <c r="S54" s="135">
        <v>70.5</v>
      </c>
      <c r="T54" s="136">
        <v>36</v>
      </c>
      <c r="U54" s="122">
        <v>30</v>
      </c>
      <c r="V54" s="123">
        <v>30</v>
      </c>
      <c r="W54" s="126">
        <f t="shared" si="5"/>
        <v>4.908738521234052</v>
      </c>
      <c r="X54" s="127">
        <f t="shared" si="6"/>
        <v>4.908738521234052</v>
      </c>
      <c r="Y54" s="139">
        <v>34.89</v>
      </c>
      <c r="Z54" s="126">
        <v>34.89</v>
      </c>
      <c r="AA54" s="126">
        <f t="shared" si="7"/>
        <v>6.6394075529270218</v>
      </c>
      <c r="AB54" s="126">
        <f t="shared" si="8"/>
        <v>6.6394075529270218</v>
      </c>
      <c r="AC54" s="127">
        <f t="shared" si="9"/>
        <v>1.2268750000000004</v>
      </c>
      <c r="AE54" s="289">
        <f>IF('1-Manifold (Variable Length)'!$C$8&gt;=A54,A54,'1-Manifold (Variable Length)'!$C$8)</f>
        <v>10</v>
      </c>
      <c r="AF54" s="289">
        <f>IF('2-Manifold (Variable Length)'!$C$8&gt;=A54,A54,'2-Manifold (Variable Length)'!$C$8)</f>
        <v>6</v>
      </c>
      <c r="AH54" s="386">
        <v>51</v>
      </c>
      <c r="AI54" s="392">
        <v>50</v>
      </c>
      <c r="AJ54" s="621">
        <v>15.59</v>
      </c>
      <c r="AK54" s="621">
        <v>0.47</v>
      </c>
      <c r="AL54" s="393">
        <v>46.36</v>
      </c>
      <c r="AM54" s="394">
        <v>2.75</v>
      </c>
      <c r="AN54" s="394">
        <v>112.01</v>
      </c>
      <c r="AO54" s="394">
        <v>15.24</v>
      </c>
      <c r="AP54" s="394">
        <v>90.94</v>
      </c>
      <c r="AQ54" s="335">
        <v>34.960000000000008</v>
      </c>
    </row>
    <row r="55" spans="1:43">
      <c r="A55" s="84">
        <v>55</v>
      </c>
      <c r="B55" s="86"/>
      <c r="C55" s="86"/>
      <c r="D55" s="107">
        <v>43</v>
      </c>
      <c r="E55" t="s">
        <v>118</v>
      </c>
      <c r="F55" s="135">
        <v>77.5</v>
      </c>
      <c r="G55" s="136">
        <v>36.5</v>
      </c>
      <c r="H55" s="122">
        <v>36</v>
      </c>
      <c r="I55" s="123">
        <v>6</v>
      </c>
      <c r="J55" s="126">
        <f t="shared" si="0"/>
        <v>7.0685834705770345</v>
      </c>
      <c r="K55" s="127">
        <f t="shared" si="1"/>
        <v>0.19634954084936207</v>
      </c>
      <c r="L55" s="139">
        <v>40.9</v>
      </c>
      <c r="M55" s="126">
        <v>7.05</v>
      </c>
      <c r="N55" s="126">
        <f t="shared" si="2"/>
        <v>9.1237632063394827</v>
      </c>
      <c r="O55" s="126">
        <f t="shared" si="3"/>
        <v>0.27108508483515054</v>
      </c>
      <c r="P55" s="127">
        <f t="shared" si="4"/>
        <v>1.3520833333333331</v>
      </c>
      <c r="Q55" s="108">
        <v>43</v>
      </c>
      <c r="R55" t="s">
        <v>117</v>
      </c>
      <c r="S55" s="135">
        <v>77.75</v>
      </c>
      <c r="T55" s="136">
        <v>36.75</v>
      </c>
      <c r="U55" s="122">
        <v>36</v>
      </c>
      <c r="V55" s="123">
        <v>4</v>
      </c>
      <c r="W55" s="126">
        <f t="shared" si="5"/>
        <v>7.0685834705770345</v>
      </c>
      <c r="X55" s="127">
        <f t="shared" si="6"/>
        <v>8.7266462599716474E-2</v>
      </c>
      <c r="Y55" s="139">
        <v>40.9</v>
      </c>
      <c r="Z55" s="126">
        <v>4.75</v>
      </c>
      <c r="AA55" s="126">
        <f t="shared" si="7"/>
        <v>9.1237632063394827</v>
      </c>
      <c r="AB55" s="126">
        <f t="shared" si="8"/>
        <v>0.12305934765038143</v>
      </c>
      <c r="AC55" s="127">
        <f t="shared" si="9"/>
        <v>1.3520833333333331</v>
      </c>
      <c r="AE55" s="289">
        <f>IF('1-Manifold (Variable Length)'!$C$8&gt;=A55,A55,'1-Manifold (Variable Length)'!$C$8)</f>
        <v>10</v>
      </c>
      <c r="AF55" s="289">
        <f>IF('2-Manifold (Variable Length)'!$C$8&gt;=A55,A55,'2-Manifold (Variable Length)'!$C$8)</f>
        <v>6</v>
      </c>
      <c r="AH55" s="386">
        <v>52</v>
      </c>
      <c r="AI55" s="392">
        <v>51</v>
      </c>
      <c r="AJ55" s="621">
        <v>15.59</v>
      </c>
      <c r="AK55" s="621">
        <v>0.47</v>
      </c>
      <c r="AL55" s="393">
        <v>46.36</v>
      </c>
      <c r="AM55" s="394">
        <v>2.75</v>
      </c>
      <c r="AN55" s="394">
        <v>112.63</v>
      </c>
      <c r="AO55" s="394">
        <v>15.29</v>
      </c>
      <c r="AP55" s="394">
        <v>92.67</v>
      </c>
      <c r="AQ55" s="335">
        <v>35.470000000000006</v>
      </c>
    </row>
    <row r="56" spans="1:43">
      <c r="A56" s="84">
        <v>56</v>
      </c>
      <c r="B56" s="86"/>
      <c r="C56" s="86"/>
      <c r="D56" s="107">
        <v>44</v>
      </c>
      <c r="E56" t="s">
        <v>119</v>
      </c>
      <c r="F56" s="135">
        <v>78</v>
      </c>
      <c r="G56" s="136">
        <v>37</v>
      </c>
      <c r="H56" s="122">
        <v>36</v>
      </c>
      <c r="I56" s="123">
        <v>8</v>
      </c>
      <c r="J56" s="126">
        <f t="shared" si="0"/>
        <v>7.0685834705770345</v>
      </c>
      <c r="K56" s="127">
        <f t="shared" si="1"/>
        <v>0.3490658503988659</v>
      </c>
      <c r="L56" s="139">
        <v>40.9</v>
      </c>
      <c r="M56" s="126">
        <v>9.4</v>
      </c>
      <c r="N56" s="126">
        <f t="shared" si="2"/>
        <v>9.1237632063394827</v>
      </c>
      <c r="O56" s="126">
        <f t="shared" si="3"/>
        <v>0.48192903970693424</v>
      </c>
      <c r="P56" s="127">
        <f t="shared" si="4"/>
        <v>1.3520833333333331</v>
      </c>
      <c r="Q56" s="108">
        <v>44</v>
      </c>
      <c r="R56" t="s">
        <v>118</v>
      </c>
      <c r="S56" s="135">
        <v>77.5</v>
      </c>
      <c r="T56" s="136">
        <v>36.5</v>
      </c>
      <c r="U56" s="122">
        <v>36</v>
      </c>
      <c r="V56" s="123">
        <v>6</v>
      </c>
      <c r="W56" s="126">
        <f t="shared" si="5"/>
        <v>7.0685834705770345</v>
      </c>
      <c r="X56" s="127">
        <f t="shared" si="6"/>
        <v>0.19634954084936207</v>
      </c>
      <c r="Y56" s="139">
        <v>40.9</v>
      </c>
      <c r="Z56" s="126">
        <v>7.05</v>
      </c>
      <c r="AA56" s="126">
        <f t="shared" si="7"/>
        <v>9.1237632063394827</v>
      </c>
      <c r="AB56" s="126">
        <f t="shared" si="8"/>
        <v>0.27108508483515054</v>
      </c>
      <c r="AC56" s="127">
        <f t="shared" si="9"/>
        <v>1.3520833333333331</v>
      </c>
      <c r="AE56" s="289">
        <f>IF('1-Manifold (Variable Length)'!$C$8&gt;=A56,A56,'1-Manifold (Variable Length)'!$C$8)</f>
        <v>10</v>
      </c>
      <c r="AF56" s="289">
        <f>IF('2-Manifold (Variable Length)'!$C$8&gt;=A56,A56,'2-Manifold (Variable Length)'!$C$8)</f>
        <v>6</v>
      </c>
      <c r="AH56" s="386">
        <v>53</v>
      </c>
      <c r="AI56" s="392">
        <v>52</v>
      </c>
      <c r="AJ56" s="621">
        <v>15.59</v>
      </c>
      <c r="AK56" s="621">
        <v>0.47</v>
      </c>
      <c r="AL56" s="393">
        <v>46.36</v>
      </c>
      <c r="AM56" s="394">
        <v>2.75</v>
      </c>
      <c r="AN56" s="394">
        <v>113.08</v>
      </c>
      <c r="AO56" s="394">
        <v>15.32</v>
      </c>
      <c r="AP56" s="394">
        <v>94.36</v>
      </c>
      <c r="AQ56" s="335">
        <v>35.950000000000003</v>
      </c>
    </row>
    <row r="57" spans="1:43">
      <c r="A57" s="84">
        <v>57</v>
      </c>
      <c r="B57" s="86"/>
      <c r="C57" s="86"/>
      <c r="D57" s="107">
        <v>45</v>
      </c>
      <c r="E57" t="s">
        <v>120</v>
      </c>
      <c r="F57" s="135">
        <v>78</v>
      </c>
      <c r="G57" s="136">
        <v>37</v>
      </c>
      <c r="H57" s="122">
        <v>36</v>
      </c>
      <c r="I57" s="123">
        <v>10</v>
      </c>
      <c r="J57" s="126">
        <f t="shared" si="0"/>
        <v>7.0685834705770345</v>
      </c>
      <c r="K57" s="127">
        <f t="shared" si="1"/>
        <v>0.54541539124822802</v>
      </c>
      <c r="L57" s="139">
        <v>40.9</v>
      </c>
      <c r="M57" s="126">
        <v>12</v>
      </c>
      <c r="N57" s="126">
        <f t="shared" si="2"/>
        <v>9.1237632063394827</v>
      </c>
      <c r="O57" s="126">
        <f t="shared" si="3"/>
        <v>0.78539816339744828</v>
      </c>
      <c r="P57" s="127">
        <f t="shared" si="4"/>
        <v>1.3520833333333331</v>
      </c>
      <c r="Q57" s="108">
        <v>45</v>
      </c>
      <c r="R57" t="s">
        <v>119</v>
      </c>
      <c r="S57" s="135">
        <v>78</v>
      </c>
      <c r="T57" s="136">
        <v>37</v>
      </c>
      <c r="U57" s="122">
        <v>36</v>
      </c>
      <c r="V57" s="123">
        <v>8</v>
      </c>
      <c r="W57" s="126">
        <f t="shared" si="5"/>
        <v>7.0685834705770345</v>
      </c>
      <c r="X57" s="127">
        <f t="shared" si="6"/>
        <v>0.3490658503988659</v>
      </c>
      <c r="Y57" s="139">
        <v>40.9</v>
      </c>
      <c r="Z57" s="126">
        <v>9.4</v>
      </c>
      <c r="AA57" s="126">
        <f t="shared" si="7"/>
        <v>9.1237632063394827</v>
      </c>
      <c r="AB57" s="126">
        <f t="shared" si="8"/>
        <v>0.48192903970693424</v>
      </c>
      <c r="AC57" s="127">
        <f t="shared" si="9"/>
        <v>1.3520833333333331</v>
      </c>
      <c r="AE57" s="289">
        <f>IF('1-Manifold (Variable Length)'!$C$8&gt;=A57,A57,'1-Manifold (Variable Length)'!$C$8)</f>
        <v>10</v>
      </c>
      <c r="AF57" s="289">
        <f>IF('2-Manifold (Variable Length)'!$C$8&gt;=A57,A57,'2-Manifold (Variable Length)'!$C$8)</f>
        <v>6</v>
      </c>
      <c r="AH57" s="386">
        <v>54</v>
      </c>
      <c r="AI57" s="392">
        <v>53</v>
      </c>
      <c r="AJ57" s="621">
        <v>15.59</v>
      </c>
      <c r="AK57" s="621">
        <v>0.47</v>
      </c>
      <c r="AL57" s="393">
        <v>46.36</v>
      </c>
      <c r="AM57" s="394">
        <v>2.75</v>
      </c>
      <c r="AN57" s="394">
        <v>113.39</v>
      </c>
      <c r="AO57" s="394">
        <v>15.33</v>
      </c>
      <c r="AP57" s="394">
        <v>95.99</v>
      </c>
      <c r="AQ57" s="335">
        <v>36.39</v>
      </c>
    </row>
    <row r="58" spans="1:43">
      <c r="A58" s="84">
        <v>58</v>
      </c>
      <c r="B58" s="86"/>
      <c r="C58" s="86"/>
      <c r="D58" s="107">
        <v>46</v>
      </c>
      <c r="E58" t="s">
        <v>121</v>
      </c>
      <c r="F58" s="135">
        <v>78.5</v>
      </c>
      <c r="G58" s="136">
        <v>37.5</v>
      </c>
      <c r="H58" s="122">
        <v>36</v>
      </c>
      <c r="I58" s="123">
        <v>12</v>
      </c>
      <c r="J58" s="126">
        <f t="shared" si="0"/>
        <v>7.0685834705770345</v>
      </c>
      <c r="K58" s="127">
        <f t="shared" si="1"/>
        <v>0.78539816339744828</v>
      </c>
      <c r="L58" s="139">
        <v>40.9</v>
      </c>
      <c r="M58" s="126">
        <v>14.58</v>
      </c>
      <c r="N58" s="126">
        <f t="shared" si="2"/>
        <v>9.1237632063394827</v>
      </c>
      <c r="O58" s="126">
        <f t="shared" si="3"/>
        <v>1.1594244037613981</v>
      </c>
      <c r="P58" s="127">
        <f t="shared" si="4"/>
        <v>1.3520833333333331</v>
      </c>
      <c r="Q58" s="108">
        <v>46</v>
      </c>
      <c r="R58" t="s">
        <v>120</v>
      </c>
      <c r="S58" s="135">
        <v>78</v>
      </c>
      <c r="T58" s="136">
        <v>37</v>
      </c>
      <c r="U58" s="122">
        <v>36</v>
      </c>
      <c r="V58" s="123">
        <v>10</v>
      </c>
      <c r="W58" s="126">
        <f t="shared" si="5"/>
        <v>7.0685834705770345</v>
      </c>
      <c r="X58" s="127">
        <f t="shared" si="6"/>
        <v>0.54541539124822802</v>
      </c>
      <c r="Y58" s="139">
        <v>40.9</v>
      </c>
      <c r="Z58" s="126">
        <v>12</v>
      </c>
      <c r="AA58" s="126">
        <f t="shared" si="7"/>
        <v>9.1237632063394827</v>
      </c>
      <c r="AB58" s="126">
        <f t="shared" si="8"/>
        <v>0.78539816339744828</v>
      </c>
      <c r="AC58" s="127">
        <f t="shared" si="9"/>
        <v>1.3520833333333331</v>
      </c>
      <c r="AE58" s="289">
        <f>IF('1-Manifold (Variable Length)'!$C$8&gt;=A58,A58,'1-Manifold (Variable Length)'!$C$8)</f>
        <v>10</v>
      </c>
      <c r="AF58" s="289">
        <f>IF('2-Manifold (Variable Length)'!$C$8&gt;=A58,A58,'2-Manifold (Variable Length)'!$C$8)</f>
        <v>6</v>
      </c>
      <c r="AH58" s="386">
        <v>55</v>
      </c>
      <c r="AI58" s="392">
        <v>54</v>
      </c>
      <c r="AJ58" s="621">
        <v>15.59</v>
      </c>
      <c r="AK58" s="621">
        <v>0.47</v>
      </c>
      <c r="AL58" s="393">
        <v>46.36</v>
      </c>
      <c r="AM58" s="394">
        <v>2.75</v>
      </c>
      <c r="AN58" s="394">
        <v>113.57</v>
      </c>
      <c r="AO58" s="394">
        <v>15.33</v>
      </c>
      <c r="AP58" s="394">
        <v>97.57</v>
      </c>
      <c r="AQ58" s="335">
        <v>36.81</v>
      </c>
    </row>
    <row r="59" spans="1:43">
      <c r="A59" s="84">
        <v>59</v>
      </c>
      <c r="B59" s="86"/>
      <c r="C59" s="86"/>
      <c r="D59" s="107">
        <v>47</v>
      </c>
      <c r="E59" t="s">
        <v>122</v>
      </c>
      <c r="F59" s="135">
        <v>77.25</v>
      </c>
      <c r="G59" s="136">
        <v>36.25</v>
      </c>
      <c r="H59" s="122">
        <v>36</v>
      </c>
      <c r="I59" s="123">
        <v>15</v>
      </c>
      <c r="J59" s="126">
        <f t="shared" si="0"/>
        <v>7.0685834705770345</v>
      </c>
      <c r="K59" s="127">
        <f t="shared" si="1"/>
        <v>1.227184630308513</v>
      </c>
      <c r="L59" s="139">
        <v>40.9</v>
      </c>
      <c r="M59" s="126">
        <v>17.73</v>
      </c>
      <c r="N59" s="126">
        <f t="shared" si="2"/>
        <v>9.1237632063394827</v>
      </c>
      <c r="O59" s="126">
        <f t="shared" si="3"/>
        <v>1.7145290994351507</v>
      </c>
      <c r="P59" s="127">
        <f t="shared" si="4"/>
        <v>1.3520833333333331</v>
      </c>
      <c r="Q59" s="108">
        <v>47</v>
      </c>
      <c r="R59" t="s">
        <v>121</v>
      </c>
      <c r="S59" s="135">
        <v>78.5</v>
      </c>
      <c r="T59" s="136">
        <v>37.5</v>
      </c>
      <c r="U59" s="122">
        <v>36</v>
      </c>
      <c r="V59" s="123">
        <v>12</v>
      </c>
      <c r="W59" s="126">
        <f t="shared" si="5"/>
        <v>7.0685834705770345</v>
      </c>
      <c r="X59" s="127">
        <f t="shared" si="6"/>
        <v>0.78539816339744828</v>
      </c>
      <c r="Y59" s="139">
        <v>40.9</v>
      </c>
      <c r="Z59" s="126">
        <v>14.58</v>
      </c>
      <c r="AA59" s="126">
        <f t="shared" si="7"/>
        <v>9.1237632063394827</v>
      </c>
      <c r="AB59" s="126">
        <f t="shared" si="8"/>
        <v>1.1594244037613981</v>
      </c>
      <c r="AC59" s="127">
        <f t="shared" si="9"/>
        <v>1.3520833333333331</v>
      </c>
      <c r="AE59" s="289">
        <f>IF('1-Manifold (Variable Length)'!$C$8&gt;=A59,A59,'1-Manifold (Variable Length)'!$C$8)</f>
        <v>10</v>
      </c>
      <c r="AF59" s="289">
        <f>IF('2-Manifold (Variable Length)'!$C$8&gt;=A59,A59,'2-Manifold (Variable Length)'!$C$8)</f>
        <v>6</v>
      </c>
      <c r="AH59" s="386">
        <v>56</v>
      </c>
      <c r="AI59" s="392">
        <v>55</v>
      </c>
      <c r="AJ59" s="621">
        <v>15.59</v>
      </c>
      <c r="AK59" s="621">
        <v>0.47</v>
      </c>
      <c r="AL59" s="393">
        <v>46.36</v>
      </c>
      <c r="AM59" s="394">
        <v>2.75</v>
      </c>
      <c r="AN59" s="394">
        <v>113.57</v>
      </c>
      <c r="AO59" s="394">
        <v>15.33</v>
      </c>
      <c r="AP59" s="394">
        <v>99.1</v>
      </c>
      <c r="AQ59" s="335">
        <v>37.200000000000003</v>
      </c>
    </row>
    <row r="60" spans="1:43">
      <c r="A60" s="84">
        <v>60</v>
      </c>
      <c r="B60" s="86"/>
      <c r="C60" s="86"/>
      <c r="D60" s="107">
        <v>48</v>
      </c>
      <c r="E60" t="s">
        <v>123</v>
      </c>
      <c r="F60" s="135">
        <v>79.5</v>
      </c>
      <c r="G60" s="136">
        <v>38.5</v>
      </c>
      <c r="H60" s="122">
        <v>36</v>
      </c>
      <c r="I60" s="123">
        <v>18</v>
      </c>
      <c r="J60" s="126">
        <f t="shared" si="0"/>
        <v>7.0685834705770345</v>
      </c>
      <c r="K60" s="127">
        <f t="shared" si="1"/>
        <v>1.7671458676442586</v>
      </c>
      <c r="L60" s="139">
        <v>40.9</v>
      </c>
      <c r="M60" s="126">
        <v>21.45</v>
      </c>
      <c r="N60" s="126">
        <f t="shared" si="2"/>
        <v>9.1237632063394827</v>
      </c>
      <c r="O60" s="126">
        <f t="shared" si="3"/>
        <v>2.5094698505178781</v>
      </c>
      <c r="P60" s="127">
        <f t="shared" si="4"/>
        <v>1.3520833333333331</v>
      </c>
      <c r="Q60" s="108">
        <v>48</v>
      </c>
      <c r="R60" t="s">
        <v>122</v>
      </c>
      <c r="S60" s="135">
        <v>77.25</v>
      </c>
      <c r="T60" s="136">
        <v>36.25</v>
      </c>
      <c r="U60" s="122">
        <v>36</v>
      </c>
      <c r="V60" s="123">
        <v>15</v>
      </c>
      <c r="W60" s="126">
        <f t="shared" si="5"/>
        <v>7.0685834705770345</v>
      </c>
      <c r="X60" s="127">
        <f t="shared" si="6"/>
        <v>1.227184630308513</v>
      </c>
      <c r="Y60" s="139">
        <v>40.9</v>
      </c>
      <c r="Z60" s="126">
        <v>17.73</v>
      </c>
      <c r="AA60" s="126">
        <f t="shared" si="7"/>
        <v>9.1237632063394827</v>
      </c>
      <c r="AB60" s="126">
        <f t="shared" si="8"/>
        <v>1.7145290994351507</v>
      </c>
      <c r="AC60" s="127">
        <f t="shared" si="9"/>
        <v>1.3520833333333331</v>
      </c>
      <c r="AE60" s="289">
        <f>IF('1-Manifold (Variable Length)'!$C$8&gt;=A60,A60,'1-Manifold (Variable Length)'!$C$8)</f>
        <v>10</v>
      </c>
      <c r="AF60" s="289">
        <f>IF('2-Manifold (Variable Length)'!$C$8&gt;=A60,A60,'2-Manifold (Variable Length)'!$C$8)</f>
        <v>6</v>
      </c>
      <c r="AH60" s="386">
        <v>57</v>
      </c>
      <c r="AI60" s="392">
        <v>56</v>
      </c>
      <c r="AJ60" s="621">
        <v>15.59</v>
      </c>
      <c r="AK60" s="621">
        <v>0.47</v>
      </c>
      <c r="AL60" s="393">
        <v>46.36</v>
      </c>
      <c r="AM60" s="394">
        <v>2.75</v>
      </c>
      <c r="AN60" s="394">
        <v>113.57</v>
      </c>
      <c r="AO60" s="394">
        <v>15.33</v>
      </c>
      <c r="AP60" s="394">
        <v>100.56</v>
      </c>
      <c r="AQ60" s="335">
        <v>37.57</v>
      </c>
    </row>
    <row r="61" spans="1:43">
      <c r="A61" s="84">
        <v>61</v>
      </c>
      <c r="B61" s="86"/>
      <c r="C61" s="86"/>
      <c r="D61" s="107">
        <v>49</v>
      </c>
      <c r="E61" t="s">
        <v>141</v>
      </c>
      <c r="F61" s="135">
        <v>79.37</v>
      </c>
      <c r="G61" s="136">
        <v>38.47</v>
      </c>
      <c r="H61" s="122">
        <v>36</v>
      </c>
      <c r="I61" s="528">
        <v>24</v>
      </c>
      <c r="J61" s="126">
        <f t="shared" si="0"/>
        <v>7.0685834705770345</v>
      </c>
      <c r="K61" s="127">
        <f t="shared" si="1"/>
        <v>3.1415926535897931</v>
      </c>
      <c r="L61" s="139">
        <v>40.9</v>
      </c>
      <c r="M61" s="126">
        <v>28.2</v>
      </c>
      <c r="N61" s="126">
        <f t="shared" si="2"/>
        <v>9.1237632063394827</v>
      </c>
      <c r="O61" s="126">
        <f t="shared" si="3"/>
        <v>4.3373613573624086</v>
      </c>
      <c r="P61" s="127">
        <f t="shared" si="4"/>
        <v>1.3520833333333331</v>
      </c>
      <c r="Q61" s="108">
        <v>49</v>
      </c>
      <c r="R61" t="s">
        <v>123</v>
      </c>
      <c r="S61" s="135">
        <v>79.5</v>
      </c>
      <c r="T61" s="136">
        <v>38.5</v>
      </c>
      <c r="U61" s="122">
        <v>36</v>
      </c>
      <c r="V61" s="123">
        <v>18</v>
      </c>
      <c r="W61" s="126">
        <f t="shared" si="5"/>
        <v>7.0685834705770345</v>
      </c>
      <c r="X61" s="127">
        <f t="shared" si="6"/>
        <v>1.7671458676442586</v>
      </c>
      <c r="Y61" s="139">
        <v>40.9</v>
      </c>
      <c r="Z61" s="126">
        <v>21.45</v>
      </c>
      <c r="AA61" s="126">
        <f t="shared" si="7"/>
        <v>9.1237632063394827</v>
      </c>
      <c r="AB61" s="126">
        <f t="shared" si="8"/>
        <v>2.5094698505178781</v>
      </c>
      <c r="AC61" s="127">
        <f t="shared" si="9"/>
        <v>1.3520833333333331</v>
      </c>
      <c r="AE61" s="289">
        <f>IF('1-Manifold (Variable Length)'!$C$8&gt;=A61,A61,'1-Manifold (Variable Length)'!$C$8)</f>
        <v>10</v>
      </c>
      <c r="AF61" s="289">
        <f>IF('2-Manifold (Variable Length)'!$C$8&gt;=A61,A61,'2-Manifold (Variable Length)'!$C$8)</f>
        <v>6</v>
      </c>
      <c r="AH61" s="386">
        <v>58</v>
      </c>
      <c r="AI61" s="392">
        <v>57</v>
      </c>
      <c r="AJ61" s="621">
        <v>15.59</v>
      </c>
      <c r="AK61" s="621">
        <v>0.47</v>
      </c>
      <c r="AL61" s="393">
        <v>46.36</v>
      </c>
      <c r="AM61" s="394">
        <v>2.75</v>
      </c>
      <c r="AN61" s="394">
        <v>113.57</v>
      </c>
      <c r="AO61" s="394">
        <v>15.33</v>
      </c>
      <c r="AP61" s="394">
        <v>101.96</v>
      </c>
      <c r="AQ61" s="335">
        <v>37.910000000000004</v>
      </c>
    </row>
    <row r="62" spans="1:43">
      <c r="A62" s="84">
        <v>62</v>
      </c>
      <c r="B62" s="86"/>
      <c r="C62" s="86"/>
      <c r="D62" s="107">
        <v>50</v>
      </c>
      <c r="E62" t="s">
        <v>124</v>
      </c>
      <c r="F62" s="135">
        <v>84.25</v>
      </c>
      <c r="G62" s="136">
        <v>36.75</v>
      </c>
      <c r="H62" s="122">
        <v>42</v>
      </c>
      <c r="I62" s="528">
        <v>4</v>
      </c>
      <c r="J62" s="126">
        <f t="shared" ref="J62:J85" si="10">PI()*(H62/12)^2/4</f>
        <v>9.6211275016187408</v>
      </c>
      <c r="K62" s="127">
        <f t="shared" ref="K62:K85" si="11">PI()*(I62/12)^2/4</f>
        <v>8.7266462599716474E-2</v>
      </c>
      <c r="L62" s="139">
        <v>47.53</v>
      </c>
      <c r="M62" s="126">
        <v>4.75</v>
      </c>
      <c r="N62" s="126">
        <f t="shared" ref="N62:N85" si="12">PI()*(L62/12)^2/4</f>
        <v>12.32148401242724</v>
      </c>
      <c r="O62" s="126">
        <f t="shared" ref="O62:O85" si="13">PI()*(M62/12)^2/4</f>
        <v>0.12305934765038143</v>
      </c>
      <c r="P62" s="127">
        <f t="shared" ref="P62:P85" si="14">(IF(1.5*L62+12&gt;=L62+16,1.5*L62+12,L62+16)-L62)/24</f>
        <v>1.4902083333333334</v>
      </c>
      <c r="Q62" s="108">
        <v>50</v>
      </c>
      <c r="R62" t="s">
        <v>141</v>
      </c>
      <c r="S62" s="135">
        <v>80.25</v>
      </c>
      <c r="T62" s="136">
        <v>39.25</v>
      </c>
      <c r="U62" s="122">
        <v>36</v>
      </c>
      <c r="V62" s="123">
        <v>24</v>
      </c>
      <c r="W62" s="126">
        <f t="shared" si="5"/>
        <v>7.0685834705770345</v>
      </c>
      <c r="X62" s="127">
        <f t="shared" si="6"/>
        <v>3.1415926535897931</v>
      </c>
      <c r="Y62" s="139">
        <v>40.9</v>
      </c>
      <c r="Z62" s="126">
        <v>28.2</v>
      </c>
      <c r="AA62" s="126">
        <f t="shared" si="7"/>
        <v>9.1237632063394827</v>
      </c>
      <c r="AB62" s="126">
        <f t="shared" si="8"/>
        <v>4.3373613573624086</v>
      </c>
      <c r="AC62" s="127">
        <f t="shared" si="9"/>
        <v>1.3520833333333331</v>
      </c>
      <c r="AE62" s="289">
        <f>IF('1-Manifold (Variable Length)'!$C$8&gt;=A62,A62,'1-Manifold (Variable Length)'!$C$8)</f>
        <v>10</v>
      </c>
      <c r="AF62" s="289">
        <f>IF('2-Manifold (Variable Length)'!$C$8&gt;=A62,A62,'2-Manifold (Variable Length)'!$C$8)</f>
        <v>6</v>
      </c>
      <c r="AH62" s="386">
        <v>59</v>
      </c>
      <c r="AI62" s="392">
        <v>58</v>
      </c>
      <c r="AJ62" s="621">
        <v>15.59</v>
      </c>
      <c r="AK62" s="621">
        <v>0.47</v>
      </c>
      <c r="AL62" s="393">
        <v>46.36</v>
      </c>
      <c r="AM62" s="394">
        <v>2.75</v>
      </c>
      <c r="AN62" s="394">
        <v>113.57</v>
      </c>
      <c r="AO62" s="394">
        <v>15.33</v>
      </c>
      <c r="AP62" s="394">
        <v>103.28</v>
      </c>
      <c r="AQ62" s="335">
        <v>38.230000000000004</v>
      </c>
    </row>
    <row r="63" spans="1:43">
      <c r="A63" s="84">
        <v>63</v>
      </c>
      <c r="B63" s="86"/>
      <c r="C63" s="86"/>
      <c r="D63" s="107">
        <v>51</v>
      </c>
      <c r="E63" t="s">
        <v>125</v>
      </c>
      <c r="F63" s="135">
        <v>84</v>
      </c>
      <c r="G63" s="136">
        <v>36.5</v>
      </c>
      <c r="H63" s="122">
        <v>42</v>
      </c>
      <c r="I63" s="528">
        <v>6</v>
      </c>
      <c r="J63" s="126">
        <f t="shared" si="10"/>
        <v>9.6211275016187408</v>
      </c>
      <c r="K63" s="127">
        <f t="shared" si="11"/>
        <v>0.19634954084936207</v>
      </c>
      <c r="L63" s="139">
        <v>47.53</v>
      </c>
      <c r="M63" s="126">
        <v>7.05</v>
      </c>
      <c r="N63" s="126">
        <f t="shared" si="12"/>
        <v>12.32148401242724</v>
      </c>
      <c r="O63" s="126">
        <f t="shared" si="13"/>
        <v>0.27108508483515054</v>
      </c>
      <c r="P63" s="127">
        <f t="shared" si="14"/>
        <v>1.4902083333333334</v>
      </c>
      <c r="Q63" s="108">
        <v>51</v>
      </c>
      <c r="R63" t="s">
        <v>142</v>
      </c>
      <c r="S63" s="135">
        <v>77</v>
      </c>
      <c r="T63" s="136">
        <v>36</v>
      </c>
      <c r="U63" s="122">
        <v>36</v>
      </c>
      <c r="V63" s="123">
        <v>30</v>
      </c>
      <c r="W63" s="126">
        <f t="shared" si="5"/>
        <v>7.0685834705770345</v>
      </c>
      <c r="X63" s="127">
        <f t="shared" si="6"/>
        <v>4.908738521234052</v>
      </c>
      <c r="Y63" s="139">
        <v>40.9</v>
      </c>
      <c r="Z63" s="126">
        <v>34.89</v>
      </c>
      <c r="AA63" s="126">
        <f t="shared" si="7"/>
        <v>9.1237632063394827</v>
      </c>
      <c r="AB63" s="126">
        <f t="shared" si="8"/>
        <v>6.6394075529270218</v>
      </c>
      <c r="AC63" s="127">
        <f t="shared" si="9"/>
        <v>1.3520833333333331</v>
      </c>
      <c r="AE63" s="289">
        <f>IF('1-Manifold (Variable Length)'!$C$8&gt;=A63,A63,'1-Manifold (Variable Length)'!$C$8)</f>
        <v>10</v>
      </c>
      <c r="AF63" s="289">
        <f>IF('2-Manifold (Variable Length)'!$C$8&gt;=A63,A63,'2-Manifold (Variable Length)'!$C$8)</f>
        <v>6</v>
      </c>
      <c r="AH63" s="386">
        <v>60</v>
      </c>
      <c r="AI63" s="392">
        <v>59</v>
      </c>
      <c r="AJ63" s="621">
        <v>15.59</v>
      </c>
      <c r="AK63" s="621">
        <v>0.47</v>
      </c>
      <c r="AL63" s="393">
        <v>46.36</v>
      </c>
      <c r="AM63" s="394">
        <v>2.75</v>
      </c>
      <c r="AN63" s="394">
        <v>113.57</v>
      </c>
      <c r="AO63" s="394">
        <v>15.33</v>
      </c>
      <c r="AP63" s="394">
        <v>104.52</v>
      </c>
      <c r="AQ63" s="335">
        <v>38.510000000000005</v>
      </c>
    </row>
    <row r="64" spans="1:43">
      <c r="A64" s="84">
        <v>64</v>
      </c>
      <c r="B64" s="86"/>
      <c r="C64" s="86"/>
      <c r="D64" s="107">
        <v>52</v>
      </c>
      <c r="E64" t="s">
        <v>126</v>
      </c>
      <c r="F64" s="135">
        <v>84.5</v>
      </c>
      <c r="G64" s="136">
        <v>37</v>
      </c>
      <c r="H64" s="122">
        <v>42</v>
      </c>
      <c r="I64" s="528">
        <v>8</v>
      </c>
      <c r="J64" s="126">
        <f t="shared" si="10"/>
        <v>9.6211275016187408</v>
      </c>
      <c r="K64" s="127">
        <f t="shared" si="11"/>
        <v>0.3490658503988659</v>
      </c>
      <c r="L64" s="139">
        <v>47.53</v>
      </c>
      <c r="M64" s="126">
        <v>9.4</v>
      </c>
      <c r="N64" s="126">
        <f t="shared" si="12"/>
        <v>12.32148401242724</v>
      </c>
      <c r="O64" s="126">
        <f t="shared" si="13"/>
        <v>0.48192903970693424</v>
      </c>
      <c r="P64" s="127">
        <f t="shared" si="14"/>
        <v>1.4902083333333334</v>
      </c>
      <c r="Q64" s="108">
        <v>52</v>
      </c>
      <c r="R64" t="s">
        <v>124</v>
      </c>
      <c r="S64" s="135">
        <v>84.25</v>
      </c>
      <c r="T64" s="136">
        <v>36.75</v>
      </c>
      <c r="U64" s="122">
        <v>42</v>
      </c>
      <c r="V64" s="123">
        <v>4</v>
      </c>
      <c r="W64" s="126">
        <f t="shared" si="5"/>
        <v>9.6211275016187408</v>
      </c>
      <c r="X64" s="127">
        <f t="shared" si="6"/>
        <v>8.7266462599716474E-2</v>
      </c>
      <c r="Y64" s="139">
        <v>47.53</v>
      </c>
      <c r="Z64" s="126">
        <v>4.75</v>
      </c>
      <c r="AA64" s="126">
        <f t="shared" si="7"/>
        <v>12.32148401242724</v>
      </c>
      <c r="AB64" s="126">
        <f t="shared" si="8"/>
        <v>0.12305934765038143</v>
      </c>
      <c r="AC64" s="127">
        <f t="shared" si="9"/>
        <v>1.4902083333333334</v>
      </c>
      <c r="AE64" s="289">
        <f>IF('1-Manifold (Variable Length)'!$C$8&gt;=A64,A64,'1-Manifold (Variable Length)'!$C$8)</f>
        <v>10</v>
      </c>
      <c r="AF64" s="289">
        <f>IF('2-Manifold (Variable Length)'!$C$8&gt;=A64,A64,'2-Manifold (Variable Length)'!$C$8)</f>
        <v>6</v>
      </c>
      <c r="AH64" s="386">
        <v>61</v>
      </c>
      <c r="AI64" s="392">
        <v>60</v>
      </c>
      <c r="AJ64" s="621">
        <v>15.59</v>
      </c>
      <c r="AK64" s="621">
        <v>0.47</v>
      </c>
      <c r="AL64" s="393">
        <v>46.36</v>
      </c>
      <c r="AM64" s="394">
        <v>2.75</v>
      </c>
      <c r="AN64" s="394">
        <v>113.57</v>
      </c>
      <c r="AO64" s="394">
        <v>15.33</v>
      </c>
      <c r="AP64" s="394">
        <v>105.67</v>
      </c>
      <c r="AQ64" s="335">
        <v>38.750000000000007</v>
      </c>
    </row>
    <row r="65" spans="1:43">
      <c r="A65" s="84">
        <v>65</v>
      </c>
      <c r="B65" s="86"/>
      <c r="C65" s="86"/>
      <c r="D65" s="107">
        <v>53</v>
      </c>
      <c r="E65" t="s">
        <v>127</v>
      </c>
      <c r="F65" s="135">
        <v>84.5</v>
      </c>
      <c r="G65" s="136">
        <v>37</v>
      </c>
      <c r="H65" s="122">
        <v>42</v>
      </c>
      <c r="I65" s="528">
        <v>10</v>
      </c>
      <c r="J65" s="126">
        <f t="shared" si="10"/>
        <v>9.6211275016187408</v>
      </c>
      <c r="K65" s="127">
        <f t="shared" si="11"/>
        <v>0.54541539124822802</v>
      </c>
      <c r="L65" s="139">
        <v>47.53</v>
      </c>
      <c r="M65" s="126">
        <v>12</v>
      </c>
      <c r="N65" s="126">
        <f t="shared" si="12"/>
        <v>12.32148401242724</v>
      </c>
      <c r="O65" s="126">
        <f t="shared" si="13"/>
        <v>0.78539816339744828</v>
      </c>
      <c r="P65" s="127">
        <f t="shared" si="14"/>
        <v>1.4902083333333334</v>
      </c>
      <c r="Q65" s="108">
        <v>53</v>
      </c>
      <c r="R65" t="s">
        <v>125</v>
      </c>
      <c r="S65" s="135">
        <v>84</v>
      </c>
      <c r="T65" s="136">
        <v>36.5</v>
      </c>
      <c r="U65" s="122">
        <v>42</v>
      </c>
      <c r="V65" s="123">
        <v>6</v>
      </c>
      <c r="W65" s="126">
        <f t="shared" si="5"/>
        <v>9.6211275016187408</v>
      </c>
      <c r="X65" s="127">
        <f t="shared" si="6"/>
        <v>0.19634954084936207</v>
      </c>
      <c r="Y65" s="139">
        <v>47.53</v>
      </c>
      <c r="Z65" s="126">
        <v>7.05</v>
      </c>
      <c r="AA65" s="126">
        <f t="shared" si="7"/>
        <v>12.32148401242724</v>
      </c>
      <c r="AB65" s="126">
        <f t="shared" si="8"/>
        <v>0.27108508483515054</v>
      </c>
      <c r="AC65" s="127">
        <f t="shared" si="9"/>
        <v>1.4902083333333334</v>
      </c>
      <c r="AE65" s="289">
        <f>IF('1-Manifold (Variable Length)'!$C$8&gt;=A65,A65,'1-Manifold (Variable Length)'!$C$8)</f>
        <v>10</v>
      </c>
      <c r="AF65" s="289">
        <f>IF('2-Manifold (Variable Length)'!$C$8&gt;=A65,A65,'2-Manifold (Variable Length)'!$C$8)</f>
        <v>6</v>
      </c>
      <c r="AH65" s="386">
        <v>62</v>
      </c>
      <c r="AI65" s="392">
        <v>61</v>
      </c>
      <c r="AJ65" s="621">
        <v>15.59</v>
      </c>
      <c r="AK65" s="621">
        <v>0.47</v>
      </c>
      <c r="AL65" s="393">
        <v>46.36</v>
      </c>
      <c r="AM65" s="394">
        <v>2.75</v>
      </c>
      <c r="AN65" s="394">
        <v>113.57</v>
      </c>
      <c r="AO65" s="394">
        <v>15.33</v>
      </c>
      <c r="AP65" s="394">
        <v>106.71</v>
      </c>
      <c r="AQ65" s="335">
        <v>38.95000000000001</v>
      </c>
    </row>
    <row r="66" spans="1:43">
      <c r="A66" s="84">
        <v>66</v>
      </c>
      <c r="B66" s="86"/>
      <c r="C66" s="86"/>
      <c r="D66" s="107">
        <v>54</v>
      </c>
      <c r="E66" t="s">
        <v>128</v>
      </c>
      <c r="F66" s="135">
        <v>85</v>
      </c>
      <c r="G66" s="136">
        <v>37.5</v>
      </c>
      <c r="H66" s="122">
        <v>42</v>
      </c>
      <c r="I66" s="528">
        <v>12</v>
      </c>
      <c r="J66" s="126">
        <f t="shared" si="10"/>
        <v>9.6211275016187408</v>
      </c>
      <c r="K66" s="127">
        <f t="shared" si="11"/>
        <v>0.78539816339744828</v>
      </c>
      <c r="L66" s="139">
        <v>47.53</v>
      </c>
      <c r="M66" s="126">
        <v>14.58</v>
      </c>
      <c r="N66" s="126">
        <f t="shared" si="12"/>
        <v>12.32148401242724</v>
      </c>
      <c r="O66" s="126">
        <f t="shared" si="13"/>
        <v>1.1594244037613981</v>
      </c>
      <c r="P66" s="127">
        <f t="shared" si="14"/>
        <v>1.4902083333333334</v>
      </c>
      <c r="Q66" s="108">
        <v>54</v>
      </c>
      <c r="R66" t="s">
        <v>126</v>
      </c>
      <c r="S66" s="135">
        <v>84.5</v>
      </c>
      <c r="T66" s="136">
        <v>37</v>
      </c>
      <c r="U66" s="122">
        <v>42</v>
      </c>
      <c r="V66" s="123">
        <v>8</v>
      </c>
      <c r="W66" s="126">
        <f t="shared" si="5"/>
        <v>9.6211275016187408</v>
      </c>
      <c r="X66" s="127">
        <f t="shared" si="6"/>
        <v>0.3490658503988659</v>
      </c>
      <c r="Y66" s="139">
        <v>47.53</v>
      </c>
      <c r="Z66" s="126">
        <v>9.4</v>
      </c>
      <c r="AA66" s="126">
        <f t="shared" si="7"/>
        <v>12.32148401242724</v>
      </c>
      <c r="AB66" s="126">
        <f t="shared" si="8"/>
        <v>0.48192903970693424</v>
      </c>
      <c r="AC66" s="127">
        <f t="shared" si="9"/>
        <v>1.4902083333333334</v>
      </c>
      <c r="AE66" s="289">
        <f>IF('1-Manifold (Variable Length)'!$C$8&gt;=A66,A66,'1-Manifold (Variable Length)'!$C$8)</f>
        <v>10</v>
      </c>
      <c r="AF66" s="289">
        <f>IF('2-Manifold (Variable Length)'!$C$8&gt;=A66,A66,'2-Manifold (Variable Length)'!$C$8)</f>
        <v>6</v>
      </c>
      <c r="AH66" s="386">
        <v>63</v>
      </c>
      <c r="AI66" s="392">
        <v>62</v>
      </c>
      <c r="AJ66" s="621">
        <v>15.59</v>
      </c>
      <c r="AK66" s="621">
        <v>0.47</v>
      </c>
      <c r="AL66" s="393">
        <v>46.36</v>
      </c>
      <c r="AM66" s="394">
        <v>2.75</v>
      </c>
      <c r="AN66" s="394">
        <v>113.57</v>
      </c>
      <c r="AO66" s="394">
        <v>15.33</v>
      </c>
      <c r="AP66" s="394">
        <v>107.62</v>
      </c>
      <c r="AQ66" s="335">
        <v>39.13000000000001</v>
      </c>
    </row>
    <row r="67" spans="1:43">
      <c r="A67" s="84">
        <v>67</v>
      </c>
      <c r="B67" s="86"/>
      <c r="C67" s="86"/>
      <c r="D67" s="107">
        <v>55</v>
      </c>
      <c r="E67" t="s">
        <v>129</v>
      </c>
      <c r="F67" s="135">
        <v>83.75</v>
      </c>
      <c r="G67" s="136">
        <v>36.25</v>
      </c>
      <c r="H67" s="122">
        <v>42</v>
      </c>
      <c r="I67" s="528">
        <v>15</v>
      </c>
      <c r="J67" s="126">
        <f t="shared" si="10"/>
        <v>9.6211275016187408</v>
      </c>
      <c r="K67" s="127">
        <f t="shared" si="11"/>
        <v>1.227184630308513</v>
      </c>
      <c r="L67" s="139">
        <v>47.53</v>
      </c>
      <c r="M67" s="126">
        <v>17.73</v>
      </c>
      <c r="N67" s="126">
        <f t="shared" si="12"/>
        <v>12.32148401242724</v>
      </c>
      <c r="O67" s="126">
        <f t="shared" si="13"/>
        <v>1.7145290994351507</v>
      </c>
      <c r="P67" s="127">
        <f t="shared" si="14"/>
        <v>1.4902083333333334</v>
      </c>
      <c r="Q67" s="108">
        <v>55</v>
      </c>
      <c r="R67" t="s">
        <v>127</v>
      </c>
      <c r="S67" s="135">
        <v>84.5</v>
      </c>
      <c r="T67" s="136">
        <v>37</v>
      </c>
      <c r="U67" s="122">
        <v>42</v>
      </c>
      <c r="V67" s="123">
        <v>10</v>
      </c>
      <c r="W67" s="126">
        <f t="shared" si="5"/>
        <v>9.6211275016187408</v>
      </c>
      <c r="X67" s="127">
        <f t="shared" si="6"/>
        <v>0.54541539124822802</v>
      </c>
      <c r="Y67" s="139">
        <v>47.53</v>
      </c>
      <c r="Z67" s="126">
        <v>12</v>
      </c>
      <c r="AA67" s="126">
        <f t="shared" si="7"/>
        <v>12.32148401242724</v>
      </c>
      <c r="AB67" s="126">
        <f t="shared" si="8"/>
        <v>0.78539816339744828</v>
      </c>
      <c r="AC67" s="127">
        <f t="shared" si="9"/>
        <v>1.4902083333333334</v>
      </c>
      <c r="AE67" s="289">
        <f>IF('1-Manifold (Variable Length)'!$C$8&gt;=A67,A67,'1-Manifold (Variable Length)'!$C$8)</f>
        <v>10</v>
      </c>
      <c r="AF67" s="289">
        <f>IF('2-Manifold (Variable Length)'!$C$8&gt;=A67,A67,'2-Manifold (Variable Length)'!$C$8)</f>
        <v>6</v>
      </c>
      <c r="AH67" s="386">
        <v>64</v>
      </c>
      <c r="AI67" s="392">
        <v>63</v>
      </c>
      <c r="AJ67" s="621">
        <v>15.59</v>
      </c>
      <c r="AK67" s="621">
        <v>0.47</v>
      </c>
      <c r="AL67" s="393">
        <v>46.36</v>
      </c>
      <c r="AM67" s="394">
        <v>2.75</v>
      </c>
      <c r="AN67" s="394">
        <v>113.57</v>
      </c>
      <c r="AO67" s="394">
        <v>15.33</v>
      </c>
      <c r="AP67" s="394">
        <v>108.34</v>
      </c>
      <c r="AQ67" s="335">
        <v>39.27000000000001</v>
      </c>
    </row>
    <row r="68" spans="1:43">
      <c r="A68" s="84">
        <v>68</v>
      </c>
      <c r="B68" s="86"/>
      <c r="C68" s="86"/>
      <c r="D68" s="107">
        <v>56</v>
      </c>
      <c r="E68" t="s">
        <v>130</v>
      </c>
      <c r="F68" s="135">
        <v>86</v>
      </c>
      <c r="G68" s="136">
        <v>38.5</v>
      </c>
      <c r="H68" s="122">
        <v>42</v>
      </c>
      <c r="I68" s="528">
        <v>18</v>
      </c>
      <c r="J68" s="126">
        <f t="shared" si="10"/>
        <v>9.6211275016187408</v>
      </c>
      <c r="K68" s="127">
        <f t="shared" si="11"/>
        <v>1.7671458676442586</v>
      </c>
      <c r="L68" s="139">
        <v>47.53</v>
      </c>
      <c r="M68" s="126">
        <v>21.45</v>
      </c>
      <c r="N68" s="126">
        <f t="shared" si="12"/>
        <v>12.32148401242724</v>
      </c>
      <c r="O68" s="126">
        <f t="shared" si="13"/>
        <v>2.5094698505178781</v>
      </c>
      <c r="P68" s="127">
        <f t="shared" si="14"/>
        <v>1.4902083333333334</v>
      </c>
      <c r="Q68" s="108">
        <v>56</v>
      </c>
      <c r="R68" t="s">
        <v>128</v>
      </c>
      <c r="S68" s="135">
        <v>85</v>
      </c>
      <c r="T68" s="136">
        <v>37.5</v>
      </c>
      <c r="U68" s="122">
        <v>42</v>
      </c>
      <c r="V68" s="123">
        <v>12</v>
      </c>
      <c r="W68" s="126">
        <f t="shared" si="5"/>
        <v>9.6211275016187408</v>
      </c>
      <c r="X68" s="127">
        <f t="shared" si="6"/>
        <v>0.78539816339744828</v>
      </c>
      <c r="Y68" s="139">
        <v>47.53</v>
      </c>
      <c r="Z68" s="126">
        <v>14.58</v>
      </c>
      <c r="AA68" s="126">
        <f t="shared" si="7"/>
        <v>12.32148401242724</v>
      </c>
      <c r="AB68" s="126">
        <f t="shared" si="8"/>
        <v>1.1594244037613981</v>
      </c>
      <c r="AC68" s="127">
        <f t="shared" si="9"/>
        <v>1.4902083333333334</v>
      </c>
      <c r="AE68" s="289">
        <f>IF('1-Manifold (Variable Length)'!$C$8&gt;=A68,A68,'1-Manifold (Variable Length)'!$C$8)</f>
        <v>10</v>
      </c>
      <c r="AF68" s="289">
        <f>IF('2-Manifold (Variable Length)'!$C$8&gt;=A68,A68,'2-Manifold (Variable Length)'!$C$8)</f>
        <v>6</v>
      </c>
      <c r="AH68" s="386">
        <v>65</v>
      </c>
      <c r="AI68" s="392">
        <v>64</v>
      </c>
      <c r="AJ68" s="621">
        <v>15.59</v>
      </c>
      <c r="AK68" s="621">
        <v>0.47</v>
      </c>
      <c r="AL68" s="393">
        <v>46.36</v>
      </c>
      <c r="AM68" s="394">
        <v>2.75</v>
      </c>
      <c r="AN68" s="394">
        <v>113.57</v>
      </c>
      <c r="AO68" s="394">
        <v>15.33</v>
      </c>
      <c r="AP68" s="394">
        <v>108.8</v>
      </c>
      <c r="AQ68" s="335">
        <v>39.38000000000001</v>
      </c>
    </row>
    <row r="69" spans="1:43">
      <c r="A69" s="84">
        <v>69</v>
      </c>
      <c r="B69" s="86"/>
      <c r="C69" s="86"/>
      <c r="D69" s="107">
        <v>57</v>
      </c>
      <c r="E69" t="s">
        <v>143</v>
      </c>
      <c r="F69" s="135">
        <v>86</v>
      </c>
      <c r="G69" s="136">
        <v>38.47</v>
      </c>
      <c r="H69" s="122">
        <v>42</v>
      </c>
      <c r="I69" s="528">
        <v>24</v>
      </c>
      <c r="J69" s="126">
        <f t="shared" si="10"/>
        <v>9.6211275016187408</v>
      </c>
      <c r="K69" s="127">
        <f t="shared" si="11"/>
        <v>3.1415926535897931</v>
      </c>
      <c r="L69" s="139">
        <v>47.53</v>
      </c>
      <c r="M69" s="126">
        <v>28.2</v>
      </c>
      <c r="N69" s="126">
        <f t="shared" si="12"/>
        <v>12.32148401242724</v>
      </c>
      <c r="O69" s="126">
        <f t="shared" si="13"/>
        <v>4.3373613573624086</v>
      </c>
      <c r="P69" s="127">
        <f t="shared" si="14"/>
        <v>1.4902083333333334</v>
      </c>
      <c r="Q69" s="108">
        <v>57</v>
      </c>
      <c r="R69" t="s">
        <v>129</v>
      </c>
      <c r="S69" s="135">
        <v>83.75</v>
      </c>
      <c r="T69" s="136">
        <v>36.25</v>
      </c>
      <c r="U69" s="122">
        <v>42</v>
      </c>
      <c r="V69" s="123">
        <v>15</v>
      </c>
      <c r="W69" s="126">
        <f t="shared" si="5"/>
        <v>9.6211275016187408</v>
      </c>
      <c r="X69" s="127">
        <f t="shared" si="6"/>
        <v>1.227184630308513</v>
      </c>
      <c r="Y69" s="139">
        <v>47.53</v>
      </c>
      <c r="Z69" s="126">
        <v>17.73</v>
      </c>
      <c r="AA69" s="126">
        <f t="shared" si="7"/>
        <v>12.32148401242724</v>
      </c>
      <c r="AB69" s="126">
        <f t="shared" si="8"/>
        <v>1.7145290994351507</v>
      </c>
      <c r="AC69" s="127">
        <f t="shared" si="9"/>
        <v>1.4902083333333334</v>
      </c>
      <c r="AE69" s="289">
        <f>IF('1-Manifold (Variable Length)'!$C$8&gt;=A69,A69,'1-Manifold (Variable Length)'!$C$8)</f>
        <v>10</v>
      </c>
      <c r="AF69" s="289">
        <f>IF('2-Manifold (Variable Length)'!$C$8&gt;=A69,A69,'2-Manifold (Variable Length)'!$C$8)</f>
        <v>6</v>
      </c>
      <c r="AH69" s="386">
        <v>66</v>
      </c>
      <c r="AI69" s="392">
        <v>65</v>
      </c>
      <c r="AJ69" s="621">
        <v>15.59</v>
      </c>
      <c r="AK69" s="621">
        <v>0.47</v>
      </c>
      <c r="AL69" s="393">
        <v>46.36</v>
      </c>
      <c r="AM69" s="394">
        <v>2.75</v>
      </c>
      <c r="AN69" s="394">
        <v>113.57</v>
      </c>
      <c r="AO69" s="394">
        <v>15.33</v>
      </c>
      <c r="AP69" s="394">
        <v>109.15</v>
      </c>
      <c r="AQ69" s="335">
        <v>39.470000000000013</v>
      </c>
    </row>
    <row r="70" spans="1:43">
      <c r="A70" s="84">
        <v>70</v>
      </c>
      <c r="B70" s="86"/>
      <c r="C70" s="86"/>
      <c r="D70" s="107">
        <v>58</v>
      </c>
      <c r="E70" t="s">
        <v>131</v>
      </c>
      <c r="F70" s="135">
        <v>91.25</v>
      </c>
      <c r="G70" s="136">
        <v>36.75</v>
      </c>
      <c r="H70" s="122">
        <v>48</v>
      </c>
      <c r="I70" s="528">
        <v>4</v>
      </c>
      <c r="J70" s="126">
        <f t="shared" si="10"/>
        <v>12.566370614359172</v>
      </c>
      <c r="K70" s="127">
        <f t="shared" si="11"/>
        <v>8.7266462599716474E-2</v>
      </c>
      <c r="L70" s="139">
        <v>54.48</v>
      </c>
      <c r="M70" s="126">
        <v>4.75</v>
      </c>
      <c r="N70" s="126">
        <f t="shared" si="12"/>
        <v>16.188312784682843</v>
      </c>
      <c r="O70" s="126">
        <f t="shared" si="13"/>
        <v>0.12305934765038143</v>
      </c>
      <c r="P70" s="127">
        <f t="shared" si="14"/>
        <v>1.635</v>
      </c>
      <c r="Q70" s="108">
        <v>58</v>
      </c>
      <c r="R70" t="s">
        <v>130</v>
      </c>
      <c r="S70" s="135">
        <v>86</v>
      </c>
      <c r="T70" s="136">
        <v>38.5</v>
      </c>
      <c r="U70" s="122">
        <v>42</v>
      </c>
      <c r="V70" s="123">
        <v>18</v>
      </c>
      <c r="W70" s="126">
        <f t="shared" si="5"/>
        <v>9.6211275016187408</v>
      </c>
      <c r="X70" s="127">
        <f t="shared" si="6"/>
        <v>1.7671458676442586</v>
      </c>
      <c r="Y70" s="139">
        <v>47.53</v>
      </c>
      <c r="Z70" s="126">
        <v>21.45</v>
      </c>
      <c r="AA70" s="126">
        <f t="shared" si="7"/>
        <v>12.32148401242724</v>
      </c>
      <c r="AB70" s="126">
        <f t="shared" si="8"/>
        <v>2.5094698505178781</v>
      </c>
      <c r="AC70" s="127">
        <f t="shared" si="9"/>
        <v>1.4902083333333334</v>
      </c>
      <c r="AE70" s="289">
        <f>IF('1-Manifold (Variable Length)'!$C$8&gt;=A70,A70,'1-Manifold (Variable Length)'!$C$8)</f>
        <v>10</v>
      </c>
      <c r="AF70" s="289">
        <f>IF('2-Manifold (Variable Length)'!$C$8&gt;=A70,A70,'2-Manifold (Variable Length)'!$C$8)</f>
        <v>6</v>
      </c>
      <c r="AH70" s="386">
        <v>67</v>
      </c>
      <c r="AI70" s="392">
        <v>66</v>
      </c>
      <c r="AJ70" s="621">
        <v>15.59</v>
      </c>
      <c r="AK70" s="621">
        <v>0.47</v>
      </c>
      <c r="AL70" s="393">
        <v>46.36</v>
      </c>
      <c r="AM70" s="394">
        <v>2.75</v>
      </c>
      <c r="AN70" s="394">
        <v>113.57</v>
      </c>
      <c r="AO70" s="394">
        <v>15.33</v>
      </c>
      <c r="AP70" s="394">
        <v>109.42</v>
      </c>
      <c r="AQ70" s="335">
        <v>39.540000000000013</v>
      </c>
    </row>
    <row r="71" spans="1:43">
      <c r="A71" s="84">
        <v>71</v>
      </c>
      <c r="B71" s="86"/>
      <c r="C71" s="86"/>
      <c r="D71" s="107">
        <v>59</v>
      </c>
      <c r="E71" t="s">
        <v>132</v>
      </c>
      <c r="F71" s="135">
        <v>91</v>
      </c>
      <c r="G71" s="136">
        <v>36.5</v>
      </c>
      <c r="H71" s="122">
        <v>48</v>
      </c>
      <c r="I71" s="528">
        <v>6</v>
      </c>
      <c r="J71" s="126">
        <f t="shared" si="10"/>
        <v>12.566370614359172</v>
      </c>
      <c r="K71" s="127">
        <f t="shared" si="11"/>
        <v>0.19634954084936207</v>
      </c>
      <c r="L71" s="139">
        <v>54.48</v>
      </c>
      <c r="M71" s="126">
        <v>7.05</v>
      </c>
      <c r="N71" s="126">
        <f t="shared" si="12"/>
        <v>16.188312784682843</v>
      </c>
      <c r="O71" s="126">
        <f t="shared" si="13"/>
        <v>0.27108508483515054</v>
      </c>
      <c r="P71" s="127">
        <f t="shared" si="14"/>
        <v>1.635</v>
      </c>
      <c r="Q71" s="108">
        <v>59</v>
      </c>
      <c r="R71" t="s">
        <v>143</v>
      </c>
      <c r="S71" s="135">
        <v>86.75</v>
      </c>
      <c r="T71" s="136">
        <v>39.25</v>
      </c>
      <c r="U71" s="122">
        <v>42</v>
      </c>
      <c r="V71" s="123">
        <v>24</v>
      </c>
      <c r="W71" s="126">
        <f t="shared" si="5"/>
        <v>9.6211275016187408</v>
      </c>
      <c r="X71" s="127">
        <f t="shared" si="6"/>
        <v>3.1415926535897931</v>
      </c>
      <c r="Y71" s="139">
        <v>47.53</v>
      </c>
      <c r="Z71" s="126">
        <v>28.2</v>
      </c>
      <c r="AA71" s="126">
        <f t="shared" si="7"/>
        <v>12.32148401242724</v>
      </c>
      <c r="AB71" s="126">
        <f t="shared" si="8"/>
        <v>4.3373613573624086</v>
      </c>
      <c r="AC71" s="127">
        <f t="shared" si="9"/>
        <v>1.4902083333333334</v>
      </c>
      <c r="AE71" s="289">
        <f>IF('1-Manifold (Variable Length)'!$C$8&gt;=A71,A71,'1-Manifold (Variable Length)'!$C$8)</f>
        <v>10</v>
      </c>
      <c r="AF71" s="289">
        <f>IF('2-Manifold (Variable Length)'!$C$8&gt;=A71,A71,'2-Manifold (Variable Length)'!$C$8)</f>
        <v>6</v>
      </c>
      <c r="AH71" s="386">
        <v>68</v>
      </c>
      <c r="AI71" s="392">
        <v>67</v>
      </c>
      <c r="AJ71" s="622">
        <v>15.59</v>
      </c>
      <c r="AK71" s="621">
        <v>0.47</v>
      </c>
      <c r="AL71" s="393">
        <v>46.36</v>
      </c>
      <c r="AM71" s="394">
        <v>2.75</v>
      </c>
      <c r="AN71" s="394">
        <v>113.57</v>
      </c>
      <c r="AO71" s="394">
        <v>15.33</v>
      </c>
      <c r="AP71" s="557">
        <v>109.6</v>
      </c>
      <c r="AQ71" s="335">
        <v>39.580000000000013</v>
      </c>
    </row>
    <row r="72" spans="1:43">
      <c r="A72" s="84">
        <v>72</v>
      </c>
      <c r="B72" s="86"/>
      <c r="C72" s="86"/>
      <c r="D72" s="107">
        <v>60</v>
      </c>
      <c r="E72" t="s">
        <v>133</v>
      </c>
      <c r="F72" s="135">
        <v>91.5</v>
      </c>
      <c r="G72" s="136">
        <v>37</v>
      </c>
      <c r="H72" s="122">
        <v>48</v>
      </c>
      <c r="I72" s="528">
        <v>8</v>
      </c>
      <c r="J72" s="126">
        <f t="shared" si="10"/>
        <v>12.566370614359172</v>
      </c>
      <c r="K72" s="127">
        <f t="shared" si="11"/>
        <v>0.3490658503988659</v>
      </c>
      <c r="L72" s="139">
        <v>54.48</v>
      </c>
      <c r="M72" s="126">
        <v>9.4</v>
      </c>
      <c r="N72" s="126">
        <f t="shared" si="12"/>
        <v>16.188312784682843</v>
      </c>
      <c r="O72" s="126">
        <f t="shared" si="13"/>
        <v>0.48192903970693424</v>
      </c>
      <c r="P72" s="127">
        <f t="shared" si="14"/>
        <v>1.635</v>
      </c>
      <c r="Q72" s="108">
        <v>60</v>
      </c>
      <c r="R72" t="s">
        <v>144</v>
      </c>
      <c r="S72" s="135">
        <v>83.5</v>
      </c>
      <c r="T72" s="136">
        <v>36</v>
      </c>
      <c r="U72" s="122">
        <v>42</v>
      </c>
      <c r="V72" s="123">
        <v>30</v>
      </c>
      <c r="W72" s="126">
        <f t="shared" si="5"/>
        <v>9.6211275016187408</v>
      </c>
      <c r="X72" s="127">
        <f t="shared" si="6"/>
        <v>4.908738521234052</v>
      </c>
      <c r="Y72" s="139">
        <v>47.53</v>
      </c>
      <c r="Z72" s="126">
        <v>34.89</v>
      </c>
      <c r="AA72" s="126">
        <f t="shared" si="7"/>
        <v>12.32148401242724</v>
      </c>
      <c r="AB72" s="126">
        <f t="shared" si="8"/>
        <v>6.6394075529270218</v>
      </c>
      <c r="AC72" s="127">
        <f t="shared" si="9"/>
        <v>1.4902083333333334</v>
      </c>
      <c r="AE72" s="289">
        <f>IF('1-Manifold (Variable Length)'!$C$8&gt;=A72,A72,'1-Manifold (Variable Length)'!$C$8)</f>
        <v>10</v>
      </c>
      <c r="AF72" s="289">
        <f>IF('2-Manifold (Variable Length)'!$C$8&gt;=A72,A72,'2-Manifold (Variable Length)'!$C$8)</f>
        <v>6</v>
      </c>
      <c r="AH72" s="386">
        <v>69</v>
      </c>
      <c r="AI72" s="392">
        <v>68</v>
      </c>
      <c r="AJ72" s="622">
        <v>15.59</v>
      </c>
      <c r="AK72" s="621">
        <v>0.47</v>
      </c>
      <c r="AL72" s="393">
        <v>46.36</v>
      </c>
      <c r="AM72" s="394">
        <v>2.75</v>
      </c>
      <c r="AN72" s="394">
        <v>113.57</v>
      </c>
      <c r="AO72" s="394">
        <v>15.33</v>
      </c>
      <c r="AP72" s="557">
        <v>109.67</v>
      </c>
      <c r="AQ72" s="335">
        <v>39.600000000000016</v>
      </c>
    </row>
    <row r="73" spans="1:43">
      <c r="A73" s="84">
        <v>73</v>
      </c>
      <c r="B73" s="86"/>
      <c r="C73" s="86"/>
      <c r="D73" s="107">
        <v>61</v>
      </c>
      <c r="E73" t="s">
        <v>134</v>
      </c>
      <c r="F73" s="135">
        <v>91.5</v>
      </c>
      <c r="G73" s="136">
        <v>37</v>
      </c>
      <c r="H73" s="122">
        <v>48</v>
      </c>
      <c r="I73" s="528">
        <v>10</v>
      </c>
      <c r="J73" s="126">
        <f t="shared" si="10"/>
        <v>12.566370614359172</v>
      </c>
      <c r="K73" s="127">
        <f t="shared" si="11"/>
        <v>0.54541539124822802</v>
      </c>
      <c r="L73" s="139">
        <v>54.48</v>
      </c>
      <c r="M73" s="126">
        <v>12</v>
      </c>
      <c r="N73" s="126">
        <f t="shared" si="12"/>
        <v>16.188312784682843</v>
      </c>
      <c r="O73" s="126">
        <f t="shared" si="13"/>
        <v>0.78539816339744828</v>
      </c>
      <c r="P73" s="127">
        <f t="shared" si="14"/>
        <v>1.635</v>
      </c>
      <c r="Q73" s="108">
        <v>61</v>
      </c>
      <c r="R73" t="s">
        <v>131</v>
      </c>
      <c r="S73" s="135">
        <v>91.25</v>
      </c>
      <c r="T73" s="136">
        <v>36.75</v>
      </c>
      <c r="U73" s="122">
        <v>48</v>
      </c>
      <c r="V73" s="528">
        <v>4</v>
      </c>
      <c r="W73" s="126">
        <f t="shared" ref="W73:W90" si="15">PI()*(U73/12)^2/4</f>
        <v>12.566370614359172</v>
      </c>
      <c r="X73" s="127">
        <f t="shared" ref="X73:X90" si="16">PI()*(V73/12)^2/4</f>
        <v>8.7266462599716474E-2</v>
      </c>
      <c r="Y73" s="139">
        <v>54.48</v>
      </c>
      <c r="Z73" s="126">
        <v>4.75</v>
      </c>
      <c r="AA73" s="126">
        <f t="shared" ref="AA73:AA90" si="17">PI()*(Y73/12)^2/4</f>
        <v>16.188312784682843</v>
      </c>
      <c r="AB73" s="126">
        <f t="shared" ref="AB73:AB90" si="18">PI()*(Z73/12)^2/4</f>
        <v>0.12305934765038143</v>
      </c>
      <c r="AC73" s="127">
        <f t="shared" ref="AC73:AC90" si="19">(IF(1.5*Y73+12&gt;=Y73+16,1.5*Y73+12,Y73+16)-Y73)/24</f>
        <v>1.635</v>
      </c>
      <c r="AE73" s="289">
        <f>IF('1-Manifold (Variable Length)'!$C$8&gt;=A73,A73,'1-Manifold (Variable Length)'!$C$8)</f>
        <v>10</v>
      </c>
      <c r="AF73" s="289">
        <f>IF('2-Manifold (Variable Length)'!$C$8&gt;=A73,A73,'2-Manifold (Variable Length)'!$C$8)</f>
        <v>6</v>
      </c>
      <c r="AH73" s="386">
        <v>70</v>
      </c>
      <c r="AI73" s="392">
        <v>69</v>
      </c>
      <c r="AJ73" s="622">
        <v>15.59</v>
      </c>
      <c r="AK73" s="621">
        <v>0.47</v>
      </c>
      <c r="AL73" s="393">
        <v>46.36</v>
      </c>
      <c r="AM73" s="394">
        <v>2.75</v>
      </c>
      <c r="AN73" s="394">
        <v>113.57</v>
      </c>
      <c r="AO73" s="394">
        <v>15.33</v>
      </c>
      <c r="AP73" s="557">
        <v>109.67</v>
      </c>
      <c r="AQ73" s="335">
        <v>39.600000000000016</v>
      </c>
    </row>
    <row r="74" spans="1:43">
      <c r="A74" s="84">
        <v>74</v>
      </c>
      <c r="B74" s="86"/>
      <c r="C74" s="86"/>
      <c r="D74" s="107">
        <v>62</v>
      </c>
      <c r="E74" t="s">
        <v>135</v>
      </c>
      <c r="F74" s="135">
        <v>92</v>
      </c>
      <c r="G74" s="136">
        <v>37.5</v>
      </c>
      <c r="H74" s="122">
        <v>48</v>
      </c>
      <c r="I74" s="528">
        <v>12</v>
      </c>
      <c r="J74" s="126">
        <f t="shared" si="10"/>
        <v>12.566370614359172</v>
      </c>
      <c r="K74" s="127">
        <f t="shared" si="11"/>
        <v>0.78539816339744828</v>
      </c>
      <c r="L74" s="139">
        <v>54.48</v>
      </c>
      <c r="M74" s="126">
        <v>14.58</v>
      </c>
      <c r="N74" s="126">
        <f t="shared" si="12"/>
        <v>16.188312784682843</v>
      </c>
      <c r="O74" s="126">
        <f t="shared" si="13"/>
        <v>1.1594244037613981</v>
      </c>
      <c r="P74" s="127">
        <f t="shared" si="14"/>
        <v>1.635</v>
      </c>
      <c r="Q74" s="108">
        <v>62</v>
      </c>
      <c r="R74" t="s">
        <v>132</v>
      </c>
      <c r="S74" s="135">
        <v>91</v>
      </c>
      <c r="T74" s="136">
        <v>36.5</v>
      </c>
      <c r="U74" s="122">
        <v>48</v>
      </c>
      <c r="V74" s="528">
        <v>6</v>
      </c>
      <c r="W74" s="126">
        <f t="shared" si="15"/>
        <v>12.566370614359172</v>
      </c>
      <c r="X74" s="127">
        <f t="shared" si="16"/>
        <v>0.19634954084936207</v>
      </c>
      <c r="Y74" s="139">
        <v>54.48</v>
      </c>
      <c r="Z74" s="126">
        <v>7.05</v>
      </c>
      <c r="AA74" s="126">
        <f t="shared" si="17"/>
        <v>16.188312784682843</v>
      </c>
      <c r="AB74" s="126">
        <f t="shared" si="18"/>
        <v>0.27108508483515054</v>
      </c>
      <c r="AC74" s="127">
        <f t="shared" si="19"/>
        <v>1.635</v>
      </c>
      <c r="AE74" s="289">
        <f>IF('1-Manifold (Variable Length)'!$C$8&gt;=A74,A74,'1-Manifold (Variable Length)'!$C$8)</f>
        <v>10</v>
      </c>
      <c r="AF74" s="289">
        <f>IF('2-Manifold (Variable Length)'!$C$8&gt;=A74,A74,'2-Manifold (Variable Length)'!$C$8)</f>
        <v>6</v>
      </c>
      <c r="AH74" s="386">
        <v>71</v>
      </c>
      <c r="AI74" s="392">
        <v>70</v>
      </c>
      <c r="AJ74" s="622">
        <v>15.59</v>
      </c>
      <c r="AK74" s="621">
        <v>0.47</v>
      </c>
      <c r="AL74" s="393">
        <v>46.36</v>
      </c>
      <c r="AM74" s="394">
        <v>2.75</v>
      </c>
      <c r="AN74" s="394">
        <v>113.57</v>
      </c>
      <c r="AO74" s="394">
        <v>15.33</v>
      </c>
      <c r="AP74" s="557">
        <v>109.67</v>
      </c>
      <c r="AQ74" s="335">
        <v>39.600000000000016</v>
      </c>
    </row>
    <row r="75" spans="1:43">
      <c r="A75" s="84">
        <v>75</v>
      </c>
      <c r="B75" s="86"/>
      <c r="C75" s="86"/>
      <c r="D75" s="107">
        <v>63</v>
      </c>
      <c r="E75" t="s">
        <v>136</v>
      </c>
      <c r="F75" s="135">
        <v>90.75</v>
      </c>
      <c r="G75" s="136">
        <v>36.25</v>
      </c>
      <c r="H75" s="122">
        <v>48</v>
      </c>
      <c r="I75" s="528">
        <v>15</v>
      </c>
      <c r="J75" s="126">
        <f t="shared" si="10"/>
        <v>12.566370614359172</v>
      </c>
      <c r="K75" s="127">
        <f t="shared" si="11"/>
        <v>1.227184630308513</v>
      </c>
      <c r="L75" s="139">
        <v>54.48</v>
      </c>
      <c r="M75" s="126">
        <v>17.73</v>
      </c>
      <c r="N75" s="126">
        <f t="shared" si="12"/>
        <v>16.188312784682843</v>
      </c>
      <c r="O75" s="126">
        <f t="shared" si="13"/>
        <v>1.7145290994351507</v>
      </c>
      <c r="P75" s="127">
        <f t="shared" si="14"/>
        <v>1.635</v>
      </c>
      <c r="Q75" s="108">
        <v>63</v>
      </c>
      <c r="R75" t="s">
        <v>133</v>
      </c>
      <c r="S75" s="135">
        <v>91.5</v>
      </c>
      <c r="T75" s="136">
        <v>37</v>
      </c>
      <c r="U75" s="122">
        <v>48</v>
      </c>
      <c r="V75" s="528">
        <v>8</v>
      </c>
      <c r="W75" s="126">
        <f t="shared" si="15"/>
        <v>12.566370614359172</v>
      </c>
      <c r="X75" s="127">
        <f t="shared" si="16"/>
        <v>0.3490658503988659</v>
      </c>
      <c r="Y75" s="139">
        <v>54.48</v>
      </c>
      <c r="Z75" s="126">
        <v>9.4</v>
      </c>
      <c r="AA75" s="126">
        <f t="shared" si="17"/>
        <v>16.188312784682843</v>
      </c>
      <c r="AB75" s="126">
        <f t="shared" si="18"/>
        <v>0.48192903970693424</v>
      </c>
      <c r="AC75" s="127">
        <f t="shared" si="19"/>
        <v>1.635</v>
      </c>
      <c r="AE75" s="289">
        <f>IF('1-Manifold (Variable Length)'!$C$8&gt;=A75,A75,'1-Manifold (Variable Length)'!$C$8)</f>
        <v>10</v>
      </c>
      <c r="AF75" s="289">
        <f>IF('2-Manifold (Variable Length)'!$C$8&gt;=A75,A75,'2-Manifold (Variable Length)'!$C$8)</f>
        <v>6</v>
      </c>
      <c r="AH75" s="386">
        <v>72</v>
      </c>
      <c r="AI75" s="392">
        <v>71</v>
      </c>
      <c r="AJ75" s="622">
        <v>15.59</v>
      </c>
      <c r="AK75" s="621">
        <v>0.47</v>
      </c>
      <c r="AL75" s="393">
        <v>46.36</v>
      </c>
      <c r="AM75" s="394">
        <v>2.75</v>
      </c>
      <c r="AN75" s="394">
        <v>113.57</v>
      </c>
      <c r="AO75" s="394">
        <v>15.33</v>
      </c>
      <c r="AP75" s="557">
        <v>109.67</v>
      </c>
      <c r="AQ75" s="335">
        <v>39.600000000000016</v>
      </c>
    </row>
    <row r="76" spans="1:43">
      <c r="A76" s="84">
        <v>76</v>
      </c>
      <c r="B76" s="86"/>
      <c r="C76" s="86"/>
      <c r="D76" s="107">
        <v>64</v>
      </c>
      <c r="E76" t="s">
        <v>137</v>
      </c>
      <c r="F76" s="135">
        <v>93</v>
      </c>
      <c r="G76" s="136">
        <v>38.5</v>
      </c>
      <c r="H76" s="122">
        <v>48</v>
      </c>
      <c r="I76" s="528">
        <v>18</v>
      </c>
      <c r="J76" s="126">
        <f t="shared" si="10"/>
        <v>12.566370614359172</v>
      </c>
      <c r="K76" s="127">
        <f t="shared" si="11"/>
        <v>1.7671458676442586</v>
      </c>
      <c r="L76" s="139">
        <v>54.48</v>
      </c>
      <c r="M76" s="126">
        <v>21.45</v>
      </c>
      <c r="N76" s="126">
        <f t="shared" si="12"/>
        <v>16.188312784682843</v>
      </c>
      <c r="O76" s="126">
        <f t="shared" si="13"/>
        <v>2.5094698505178781</v>
      </c>
      <c r="P76" s="127">
        <f t="shared" si="14"/>
        <v>1.635</v>
      </c>
      <c r="Q76" s="108">
        <v>64</v>
      </c>
      <c r="R76" t="s">
        <v>134</v>
      </c>
      <c r="S76" s="135">
        <v>91.5</v>
      </c>
      <c r="T76" s="136">
        <v>37</v>
      </c>
      <c r="U76" s="122">
        <v>48</v>
      </c>
      <c r="V76" s="528">
        <v>10</v>
      </c>
      <c r="W76" s="126">
        <f t="shared" si="15"/>
        <v>12.566370614359172</v>
      </c>
      <c r="X76" s="127">
        <f t="shared" si="16"/>
        <v>0.54541539124822802</v>
      </c>
      <c r="Y76" s="139">
        <v>54.48</v>
      </c>
      <c r="Z76" s="126">
        <v>12</v>
      </c>
      <c r="AA76" s="126">
        <f t="shared" si="17"/>
        <v>16.188312784682843</v>
      </c>
      <c r="AB76" s="126">
        <f t="shared" si="18"/>
        <v>0.78539816339744828</v>
      </c>
      <c r="AC76" s="127">
        <f t="shared" si="19"/>
        <v>1.635</v>
      </c>
      <c r="AE76" s="289">
        <f>IF('1-Manifold (Variable Length)'!$C$8&gt;=A76,A76,'1-Manifold (Variable Length)'!$C$8)</f>
        <v>10</v>
      </c>
      <c r="AF76" s="289">
        <f>IF('2-Manifold (Variable Length)'!$C$8&gt;=A76,A76,'2-Manifold (Variable Length)'!$C$8)</f>
        <v>6</v>
      </c>
      <c r="AH76" s="386">
        <v>73</v>
      </c>
      <c r="AI76" s="392">
        <v>72</v>
      </c>
      <c r="AJ76" s="622">
        <v>15.59</v>
      </c>
      <c r="AK76" s="621">
        <v>0.47</v>
      </c>
      <c r="AL76" s="393">
        <v>46.36</v>
      </c>
      <c r="AM76" s="394">
        <v>2.75</v>
      </c>
      <c r="AN76" s="394">
        <v>113.57</v>
      </c>
      <c r="AO76" s="394">
        <v>15.33</v>
      </c>
      <c r="AP76" s="557">
        <v>109.67</v>
      </c>
      <c r="AQ76" s="335">
        <v>39.600000000000016</v>
      </c>
    </row>
    <row r="77" spans="1:43">
      <c r="A77" s="288">
        <v>77</v>
      </c>
      <c r="B77" s="86"/>
      <c r="C77" s="249"/>
      <c r="D77" s="107">
        <v>65</v>
      </c>
      <c r="E77" t="s">
        <v>145</v>
      </c>
      <c r="F77" s="135">
        <v>92.95</v>
      </c>
      <c r="G77" s="136">
        <v>38.47</v>
      </c>
      <c r="H77" s="122">
        <v>48</v>
      </c>
      <c r="I77" s="528">
        <v>24</v>
      </c>
      <c r="J77" s="126">
        <f t="shared" si="10"/>
        <v>12.566370614359172</v>
      </c>
      <c r="K77" s="127">
        <f t="shared" si="11"/>
        <v>3.1415926535897931</v>
      </c>
      <c r="L77" s="139">
        <v>54.48</v>
      </c>
      <c r="M77" s="126">
        <v>28.2</v>
      </c>
      <c r="N77" s="126">
        <f t="shared" si="12"/>
        <v>16.188312784682843</v>
      </c>
      <c r="O77" s="126">
        <f t="shared" si="13"/>
        <v>4.3373613573624086</v>
      </c>
      <c r="P77" s="127">
        <f t="shared" si="14"/>
        <v>1.635</v>
      </c>
      <c r="Q77" s="108">
        <v>65</v>
      </c>
      <c r="R77" t="s">
        <v>135</v>
      </c>
      <c r="S77" s="135">
        <v>92</v>
      </c>
      <c r="T77" s="136">
        <v>37.5</v>
      </c>
      <c r="U77" s="122">
        <v>48</v>
      </c>
      <c r="V77" s="528">
        <v>12</v>
      </c>
      <c r="W77" s="126">
        <f t="shared" si="15"/>
        <v>12.566370614359172</v>
      </c>
      <c r="X77" s="127">
        <f t="shared" si="16"/>
        <v>0.78539816339744828</v>
      </c>
      <c r="Y77" s="139">
        <v>54.48</v>
      </c>
      <c r="Z77" s="126">
        <v>14.58</v>
      </c>
      <c r="AA77" s="126">
        <f t="shared" si="17"/>
        <v>16.188312784682843</v>
      </c>
      <c r="AB77" s="126">
        <f t="shared" si="18"/>
        <v>1.1594244037613981</v>
      </c>
      <c r="AC77" s="127">
        <f t="shared" si="19"/>
        <v>1.635</v>
      </c>
      <c r="AE77" s="289">
        <f>IF('1-Manifold (Variable Length)'!$C$8&gt;=A77,A77,'1-Manifold (Variable Length)'!$C$8)</f>
        <v>10</v>
      </c>
      <c r="AF77" s="289">
        <f>IF('2-Manifold (Variable Length)'!$C$8&gt;=A77,A77,'2-Manifold (Variable Length)'!$C$8)</f>
        <v>6</v>
      </c>
      <c r="AH77" s="386">
        <v>74</v>
      </c>
      <c r="AI77" s="392">
        <v>73</v>
      </c>
      <c r="AJ77" s="622">
        <v>15.59</v>
      </c>
      <c r="AK77" s="621">
        <v>0.47</v>
      </c>
      <c r="AL77" s="393">
        <v>46.36</v>
      </c>
      <c r="AM77" s="394">
        <v>2.75</v>
      </c>
      <c r="AN77" s="394">
        <v>113.57</v>
      </c>
      <c r="AO77" s="394">
        <v>15.33</v>
      </c>
      <c r="AP77" s="557">
        <v>109.67</v>
      </c>
      <c r="AQ77" s="335">
        <v>39.600000000000016</v>
      </c>
    </row>
    <row r="78" spans="1:43" ht="15" customHeight="1">
      <c r="A78" s="84">
        <v>78</v>
      </c>
      <c r="B78" s="86"/>
      <c r="C78" s="86"/>
      <c r="D78" s="107">
        <v>66</v>
      </c>
      <c r="E78" t="s">
        <v>839</v>
      </c>
      <c r="F78" s="135">
        <v>102.83</v>
      </c>
      <c r="G78" s="136">
        <v>35.979999999999997</v>
      </c>
      <c r="H78" s="122">
        <v>60</v>
      </c>
      <c r="I78" s="528">
        <v>4</v>
      </c>
      <c r="J78" s="126">
        <f t="shared" si="10"/>
        <v>19.634954084936208</v>
      </c>
      <c r="K78" s="127">
        <f t="shared" si="11"/>
        <v>8.7266462599716474E-2</v>
      </c>
      <c r="L78" s="139">
        <v>66.849999999999994</v>
      </c>
      <c r="M78" s="126">
        <v>4.75</v>
      </c>
      <c r="N78" s="126">
        <f t="shared" si="12"/>
        <v>24.374191137955087</v>
      </c>
      <c r="O78" s="126">
        <f t="shared" si="13"/>
        <v>0.12305934765038143</v>
      </c>
      <c r="P78" s="127">
        <f t="shared" si="14"/>
        <v>1.8927083333333332</v>
      </c>
      <c r="Q78" s="108">
        <v>66</v>
      </c>
      <c r="R78" t="s">
        <v>136</v>
      </c>
      <c r="S78" s="135">
        <v>90.75</v>
      </c>
      <c r="T78" s="136">
        <v>36.25</v>
      </c>
      <c r="U78" s="122">
        <v>48</v>
      </c>
      <c r="V78" s="528">
        <v>15</v>
      </c>
      <c r="W78" s="126">
        <f t="shared" si="15"/>
        <v>12.566370614359172</v>
      </c>
      <c r="X78" s="127">
        <f t="shared" si="16"/>
        <v>1.227184630308513</v>
      </c>
      <c r="Y78" s="139">
        <v>54.48</v>
      </c>
      <c r="Z78" s="126">
        <v>17.73</v>
      </c>
      <c r="AA78" s="126">
        <f t="shared" si="17"/>
        <v>16.188312784682843</v>
      </c>
      <c r="AB78" s="126">
        <f t="shared" si="18"/>
        <v>1.7145290994351507</v>
      </c>
      <c r="AC78" s="127">
        <f t="shared" si="19"/>
        <v>1.635</v>
      </c>
      <c r="AE78" s="289">
        <f>IF('1-Manifold (Variable Length)'!$C$8&gt;=A78,A78,'1-Manifold (Variable Length)'!$C$8)</f>
        <v>10</v>
      </c>
      <c r="AF78" s="289">
        <f>IF('2-Manifold (Variable Length)'!$C$8&gt;=A78,A78,'2-Manifold (Variable Length)'!$C$8)</f>
        <v>6</v>
      </c>
      <c r="AH78" s="386">
        <v>75</v>
      </c>
      <c r="AI78" s="392">
        <v>74</v>
      </c>
      <c r="AJ78" s="622">
        <v>15.59</v>
      </c>
      <c r="AK78" s="621">
        <v>0.47</v>
      </c>
      <c r="AL78" s="393">
        <v>46.36</v>
      </c>
      <c r="AM78" s="394">
        <v>2.75</v>
      </c>
      <c r="AN78" s="394">
        <v>113.57</v>
      </c>
      <c r="AO78" s="394">
        <v>15.33</v>
      </c>
      <c r="AP78" s="557">
        <v>109.67</v>
      </c>
      <c r="AQ78" s="335">
        <v>39.600000000000016</v>
      </c>
    </row>
    <row r="79" spans="1:43">
      <c r="A79" s="84">
        <v>79</v>
      </c>
      <c r="B79" s="86"/>
      <c r="C79" s="86"/>
      <c r="D79" s="107">
        <v>67</v>
      </c>
      <c r="E79" t="s">
        <v>840</v>
      </c>
      <c r="F79" s="135">
        <v>103.47</v>
      </c>
      <c r="G79" s="136">
        <v>36.619999999999997</v>
      </c>
      <c r="H79" s="122">
        <v>60</v>
      </c>
      <c r="I79" s="528">
        <v>6</v>
      </c>
      <c r="J79" s="126">
        <f t="shared" si="10"/>
        <v>19.634954084936208</v>
      </c>
      <c r="K79" s="127">
        <f t="shared" si="11"/>
        <v>0.19634954084936207</v>
      </c>
      <c r="L79" s="139">
        <v>66.849999999999994</v>
      </c>
      <c r="M79" s="126">
        <v>7.05</v>
      </c>
      <c r="N79" s="126">
        <f t="shared" si="12"/>
        <v>24.374191137955087</v>
      </c>
      <c r="O79" s="126">
        <f t="shared" si="13"/>
        <v>0.27108508483515054</v>
      </c>
      <c r="P79" s="127">
        <f t="shared" si="14"/>
        <v>1.8927083333333332</v>
      </c>
      <c r="Q79" s="108">
        <v>67</v>
      </c>
      <c r="R79" t="s">
        <v>137</v>
      </c>
      <c r="S79" s="135">
        <v>93</v>
      </c>
      <c r="T79" s="136">
        <v>38.5</v>
      </c>
      <c r="U79" s="122">
        <v>48</v>
      </c>
      <c r="V79" s="528">
        <v>18</v>
      </c>
      <c r="W79" s="126">
        <f t="shared" si="15"/>
        <v>12.566370614359172</v>
      </c>
      <c r="X79" s="127">
        <f t="shared" si="16"/>
        <v>1.7671458676442586</v>
      </c>
      <c r="Y79" s="139">
        <v>54.48</v>
      </c>
      <c r="Z79" s="126">
        <v>21.45</v>
      </c>
      <c r="AA79" s="126">
        <f t="shared" si="17"/>
        <v>16.188312784682843</v>
      </c>
      <c r="AB79" s="126">
        <f t="shared" si="18"/>
        <v>2.5094698505178781</v>
      </c>
      <c r="AC79" s="127">
        <f t="shared" si="19"/>
        <v>1.635</v>
      </c>
      <c r="AE79" s="289">
        <f>IF('1-Manifold (Variable Length)'!$C$8&gt;=A79,A79,'1-Manifold (Variable Length)'!$C$8)</f>
        <v>10</v>
      </c>
      <c r="AF79" s="289">
        <f>IF('2-Manifold (Variable Length)'!$C$8&gt;=A79,A79,'2-Manifold (Variable Length)'!$C$8)</f>
        <v>6</v>
      </c>
      <c r="AH79" s="386">
        <v>76</v>
      </c>
      <c r="AI79" s="392">
        <v>75</v>
      </c>
      <c r="AJ79" s="622">
        <v>15.59</v>
      </c>
      <c r="AK79" s="621">
        <v>0.47</v>
      </c>
      <c r="AL79" s="393">
        <v>46.36</v>
      </c>
      <c r="AM79" s="394">
        <v>2.75</v>
      </c>
      <c r="AN79" s="394">
        <v>113.57</v>
      </c>
      <c r="AO79" s="394">
        <v>15.33</v>
      </c>
      <c r="AP79" s="557">
        <v>109.67</v>
      </c>
      <c r="AQ79" s="335">
        <v>39.600000000000016</v>
      </c>
    </row>
    <row r="80" spans="1:43">
      <c r="A80" s="84">
        <v>80</v>
      </c>
      <c r="B80" s="86"/>
      <c r="C80" s="86"/>
      <c r="D80" s="107">
        <v>68</v>
      </c>
      <c r="E80" t="s">
        <v>841</v>
      </c>
      <c r="F80" s="135">
        <v>103.77</v>
      </c>
      <c r="G80" s="136">
        <v>36.92</v>
      </c>
      <c r="H80" s="122">
        <v>60</v>
      </c>
      <c r="I80" s="528">
        <v>8</v>
      </c>
      <c r="J80" s="126">
        <f t="shared" si="10"/>
        <v>19.634954084936208</v>
      </c>
      <c r="K80" s="127">
        <f t="shared" si="11"/>
        <v>0.3490658503988659</v>
      </c>
      <c r="L80" s="139">
        <v>66.849999999999994</v>
      </c>
      <c r="M80" s="126">
        <v>9.4</v>
      </c>
      <c r="N80" s="126">
        <f t="shared" si="12"/>
        <v>24.374191137955087</v>
      </c>
      <c r="O80" s="126">
        <f t="shared" si="13"/>
        <v>0.48192903970693424</v>
      </c>
      <c r="P80" s="127">
        <f t="shared" si="14"/>
        <v>1.8927083333333332</v>
      </c>
      <c r="Q80" s="108">
        <v>68</v>
      </c>
      <c r="R80" t="s">
        <v>145</v>
      </c>
      <c r="S80" s="135">
        <v>93.75</v>
      </c>
      <c r="T80" s="136">
        <v>39.25</v>
      </c>
      <c r="U80" s="122">
        <v>48</v>
      </c>
      <c r="V80" s="528">
        <v>24</v>
      </c>
      <c r="W80" s="126">
        <f t="shared" si="15"/>
        <v>12.566370614359172</v>
      </c>
      <c r="X80" s="127">
        <f t="shared" si="16"/>
        <v>3.1415926535897931</v>
      </c>
      <c r="Y80" s="139">
        <v>54.48</v>
      </c>
      <c r="Z80" s="126">
        <v>28.2</v>
      </c>
      <c r="AA80" s="126">
        <f t="shared" si="17"/>
        <v>16.188312784682843</v>
      </c>
      <c r="AB80" s="126">
        <f t="shared" si="18"/>
        <v>4.3373613573624086</v>
      </c>
      <c r="AC80" s="127">
        <f t="shared" si="19"/>
        <v>1.635</v>
      </c>
      <c r="AE80" s="289">
        <f>IF('1-Manifold (Variable Length)'!$C$8&gt;=A80,A80,'1-Manifold (Variable Length)'!$C$8)</f>
        <v>10</v>
      </c>
      <c r="AF80" s="289">
        <f>IF('2-Manifold (Variable Length)'!$C$8&gt;=A80,A80,'2-Manifold (Variable Length)'!$C$8)</f>
        <v>6</v>
      </c>
      <c r="AH80" s="386">
        <v>77</v>
      </c>
      <c r="AI80" s="392">
        <v>76</v>
      </c>
      <c r="AJ80" s="622">
        <v>15.59</v>
      </c>
      <c r="AK80" s="621">
        <v>0.47</v>
      </c>
      <c r="AL80" s="393">
        <v>46.36</v>
      </c>
      <c r="AM80" s="394">
        <v>2.75</v>
      </c>
      <c r="AN80" s="394">
        <v>113.57</v>
      </c>
      <c r="AO80" s="394">
        <v>15.33</v>
      </c>
      <c r="AP80" s="557">
        <v>109.67</v>
      </c>
      <c r="AQ80" s="335">
        <v>39.600000000000016</v>
      </c>
    </row>
    <row r="81" spans="1:43">
      <c r="A81" s="84">
        <v>81</v>
      </c>
      <c r="B81" s="86"/>
      <c r="C81" s="86"/>
      <c r="D81" s="107">
        <v>69</v>
      </c>
      <c r="E81" t="s">
        <v>842</v>
      </c>
      <c r="F81" s="135">
        <v>103.77</v>
      </c>
      <c r="G81" s="136">
        <v>36.92</v>
      </c>
      <c r="H81" s="122">
        <v>60</v>
      </c>
      <c r="I81" s="528">
        <v>10</v>
      </c>
      <c r="J81" s="126">
        <f t="shared" si="10"/>
        <v>19.634954084936208</v>
      </c>
      <c r="K81" s="127">
        <f t="shared" si="11"/>
        <v>0.54541539124822802</v>
      </c>
      <c r="L81" s="139">
        <v>66.849999999999994</v>
      </c>
      <c r="M81" s="126">
        <v>12</v>
      </c>
      <c r="N81" s="126">
        <f t="shared" si="12"/>
        <v>24.374191137955087</v>
      </c>
      <c r="O81" s="126">
        <f t="shared" si="13"/>
        <v>0.78539816339744828</v>
      </c>
      <c r="P81" s="127">
        <f t="shared" si="14"/>
        <v>1.8927083333333332</v>
      </c>
      <c r="Q81" s="108">
        <v>69</v>
      </c>
      <c r="R81" t="s">
        <v>146</v>
      </c>
      <c r="S81" s="135">
        <v>90.5</v>
      </c>
      <c r="T81" s="136">
        <v>36</v>
      </c>
      <c r="U81" s="122">
        <v>48</v>
      </c>
      <c r="V81" s="528">
        <v>30</v>
      </c>
      <c r="W81" s="126">
        <f t="shared" si="15"/>
        <v>12.566370614359172</v>
      </c>
      <c r="X81" s="127">
        <f t="shared" si="16"/>
        <v>4.908738521234052</v>
      </c>
      <c r="Y81" s="139">
        <v>54.48</v>
      </c>
      <c r="Z81" s="126">
        <v>34.89</v>
      </c>
      <c r="AA81" s="126">
        <f t="shared" si="17"/>
        <v>16.188312784682843</v>
      </c>
      <c r="AB81" s="126">
        <f t="shared" si="18"/>
        <v>6.6394075529270218</v>
      </c>
      <c r="AC81" s="127">
        <f t="shared" si="19"/>
        <v>1.635</v>
      </c>
      <c r="AE81" s="289">
        <f>IF('1-Manifold (Variable Length)'!$C$8&gt;=A81,A81,'1-Manifold (Variable Length)'!$C$8)</f>
        <v>10</v>
      </c>
      <c r="AF81" s="289">
        <f>IF('2-Manifold (Variable Length)'!$C$8&gt;=A81,A81,'2-Manifold (Variable Length)'!$C$8)</f>
        <v>6</v>
      </c>
      <c r="AH81" s="386">
        <v>78</v>
      </c>
      <c r="AI81" s="392">
        <v>77</v>
      </c>
      <c r="AJ81" s="622">
        <v>15.59</v>
      </c>
      <c r="AK81" s="621">
        <v>0.47</v>
      </c>
      <c r="AL81" s="393">
        <v>46.36</v>
      </c>
      <c r="AM81" s="394">
        <v>2.75</v>
      </c>
      <c r="AN81" s="394">
        <v>113.57</v>
      </c>
      <c r="AO81" s="394">
        <v>15.33</v>
      </c>
      <c r="AP81" s="557">
        <v>109.67</v>
      </c>
      <c r="AQ81" s="335">
        <v>39.600000000000016</v>
      </c>
    </row>
    <row r="82" spans="1:43">
      <c r="A82" s="84">
        <v>82</v>
      </c>
      <c r="B82" s="86"/>
      <c r="C82" s="86"/>
      <c r="D82" s="107">
        <v>70</v>
      </c>
      <c r="E82" t="s">
        <v>843</v>
      </c>
      <c r="F82" s="135">
        <v>104.23</v>
      </c>
      <c r="G82" s="136">
        <v>37.380000000000003</v>
      </c>
      <c r="H82" s="122">
        <v>60</v>
      </c>
      <c r="I82" s="528">
        <v>12</v>
      </c>
      <c r="J82" s="126">
        <f t="shared" si="10"/>
        <v>19.634954084936208</v>
      </c>
      <c r="K82" s="127">
        <f t="shared" si="11"/>
        <v>0.78539816339744828</v>
      </c>
      <c r="L82" s="139">
        <v>66.849999999999994</v>
      </c>
      <c r="M82" s="126">
        <v>14.58</v>
      </c>
      <c r="N82" s="126">
        <f t="shared" si="12"/>
        <v>24.374191137955087</v>
      </c>
      <c r="O82" s="126">
        <f t="shared" si="13"/>
        <v>1.1594244037613981</v>
      </c>
      <c r="P82" s="127">
        <f t="shared" si="14"/>
        <v>1.8927083333333332</v>
      </c>
      <c r="Q82" s="108">
        <v>70</v>
      </c>
      <c r="R82" t="s">
        <v>839</v>
      </c>
      <c r="S82" s="135">
        <v>102.83</v>
      </c>
      <c r="T82" s="136">
        <v>35.979999999999997</v>
      </c>
      <c r="U82" s="122">
        <v>60</v>
      </c>
      <c r="V82" s="528">
        <v>4</v>
      </c>
      <c r="W82" s="126">
        <f t="shared" si="15"/>
        <v>19.634954084936208</v>
      </c>
      <c r="X82" s="127">
        <f t="shared" si="16"/>
        <v>8.7266462599716474E-2</v>
      </c>
      <c r="Y82" s="139">
        <v>66.849999999999994</v>
      </c>
      <c r="Z82" s="126">
        <v>4.75</v>
      </c>
      <c r="AA82" s="126">
        <f t="shared" si="17"/>
        <v>24.374191137955087</v>
      </c>
      <c r="AB82" s="126">
        <f t="shared" si="18"/>
        <v>0.12305934765038143</v>
      </c>
      <c r="AC82" s="127">
        <f t="shared" si="19"/>
        <v>1.8927083333333332</v>
      </c>
      <c r="AE82" s="289">
        <f>IF('1-Manifold (Variable Length)'!$C$8&gt;=A82,A82,'1-Manifold (Variable Length)'!$C$8)</f>
        <v>10</v>
      </c>
      <c r="AF82" s="289">
        <f>IF('2-Manifold (Variable Length)'!$C$8&gt;=A82,A82,'2-Manifold (Variable Length)'!$C$8)</f>
        <v>6</v>
      </c>
      <c r="AH82" s="386">
        <v>79</v>
      </c>
      <c r="AI82" s="392">
        <v>78</v>
      </c>
      <c r="AJ82" s="622">
        <v>15.59</v>
      </c>
      <c r="AK82" s="621">
        <v>0.47</v>
      </c>
      <c r="AL82" s="393">
        <v>46.36</v>
      </c>
      <c r="AM82" s="394">
        <v>2.75</v>
      </c>
      <c r="AN82" s="394">
        <v>113.57</v>
      </c>
      <c r="AO82" s="394">
        <v>15.33</v>
      </c>
      <c r="AP82" s="557">
        <v>109.67</v>
      </c>
      <c r="AQ82" s="335">
        <v>39.600000000000016</v>
      </c>
    </row>
    <row r="83" spans="1:43">
      <c r="A83" s="84">
        <v>83</v>
      </c>
      <c r="B83" s="86"/>
      <c r="C83" s="86"/>
      <c r="D83" s="107">
        <v>71</v>
      </c>
      <c r="E83" t="s">
        <v>844</v>
      </c>
      <c r="F83" s="135">
        <v>102.98</v>
      </c>
      <c r="G83" s="136">
        <v>36.130000000000003</v>
      </c>
      <c r="H83" s="122">
        <v>60</v>
      </c>
      <c r="I83" s="528">
        <v>15</v>
      </c>
      <c r="J83" s="126">
        <f t="shared" si="10"/>
        <v>19.634954084936208</v>
      </c>
      <c r="K83" s="127">
        <f t="shared" si="11"/>
        <v>1.227184630308513</v>
      </c>
      <c r="L83" s="139">
        <v>66.849999999999994</v>
      </c>
      <c r="M83" s="126">
        <v>17.73</v>
      </c>
      <c r="N83" s="126">
        <f t="shared" si="12"/>
        <v>24.374191137955087</v>
      </c>
      <c r="O83" s="126">
        <f t="shared" si="13"/>
        <v>1.7145290994351507</v>
      </c>
      <c r="P83" s="127">
        <f t="shared" si="14"/>
        <v>1.8927083333333332</v>
      </c>
      <c r="Q83" s="108">
        <v>71</v>
      </c>
      <c r="R83" t="s">
        <v>840</v>
      </c>
      <c r="S83" s="135">
        <v>103.47</v>
      </c>
      <c r="T83" s="136">
        <v>36.619999999999997</v>
      </c>
      <c r="U83" s="122">
        <v>60</v>
      </c>
      <c r="V83" s="528">
        <v>6</v>
      </c>
      <c r="W83" s="126">
        <f t="shared" si="15"/>
        <v>19.634954084936208</v>
      </c>
      <c r="X83" s="127">
        <f t="shared" si="16"/>
        <v>0.19634954084936207</v>
      </c>
      <c r="Y83" s="139">
        <v>66.849999999999994</v>
      </c>
      <c r="Z83" s="126">
        <v>7.05</v>
      </c>
      <c r="AA83" s="126">
        <f t="shared" si="17"/>
        <v>24.374191137955087</v>
      </c>
      <c r="AB83" s="126">
        <f t="shared" si="18"/>
        <v>0.27108508483515054</v>
      </c>
      <c r="AC83" s="127">
        <f t="shared" si="19"/>
        <v>1.8927083333333332</v>
      </c>
      <c r="AE83" s="289">
        <f>IF('1-Manifold (Variable Length)'!$C$8&gt;=A83,A83,'1-Manifold (Variable Length)'!$C$8)</f>
        <v>10</v>
      </c>
      <c r="AF83" s="289">
        <f>IF('2-Manifold (Variable Length)'!$C$8&gt;=A83,A83,'2-Manifold (Variable Length)'!$C$8)</f>
        <v>6</v>
      </c>
      <c r="AH83" s="386">
        <v>80</v>
      </c>
      <c r="AI83" s="392">
        <v>79</v>
      </c>
      <c r="AJ83" s="622">
        <v>15.59</v>
      </c>
      <c r="AK83" s="621">
        <v>0.47</v>
      </c>
      <c r="AL83" s="393">
        <v>46.36</v>
      </c>
      <c r="AM83" s="394">
        <v>2.75</v>
      </c>
      <c r="AN83" s="394">
        <v>113.57</v>
      </c>
      <c r="AO83" s="394">
        <v>15.33</v>
      </c>
      <c r="AP83" s="557">
        <v>109.67</v>
      </c>
      <c r="AQ83" s="335">
        <v>39.600000000000016</v>
      </c>
    </row>
    <row r="84" spans="1:43">
      <c r="A84" s="84">
        <v>84</v>
      </c>
      <c r="B84" s="86"/>
      <c r="C84" s="86"/>
      <c r="D84" s="107">
        <v>72</v>
      </c>
      <c r="E84" t="s">
        <v>845</v>
      </c>
      <c r="F84" s="135">
        <v>105.37</v>
      </c>
      <c r="G84" s="136">
        <v>38.520000000000003</v>
      </c>
      <c r="H84" s="122">
        <v>60</v>
      </c>
      <c r="I84" s="528">
        <v>18</v>
      </c>
      <c r="J84" s="126">
        <f t="shared" si="10"/>
        <v>19.634954084936208</v>
      </c>
      <c r="K84" s="127">
        <f t="shared" si="11"/>
        <v>1.7671458676442586</v>
      </c>
      <c r="L84" s="139">
        <v>66.849999999999994</v>
      </c>
      <c r="M84" s="126">
        <v>21.45</v>
      </c>
      <c r="N84" s="126">
        <f t="shared" si="12"/>
        <v>24.374191137955087</v>
      </c>
      <c r="O84" s="126">
        <f t="shared" si="13"/>
        <v>2.5094698505178781</v>
      </c>
      <c r="P84" s="127">
        <f t="shared" si="14"/>
        <v>1.8927083333333332</v>
      </c>
      <c r="Q84" s="108">
        <v>72</v>
      </c>
      <c r="R84" t="s">
        <v>841</v>
      </c>
      <c r="S84" s="135">
        <v>103.77</v>
      </c>
      <c r="T84" s="136">
        <v>36.92</v>
      </c>
      <c r="U84" s="122">
        <v>60</v>
      </c>
      <c r="V84" s="123">
        <v>8</v>
      </c>
      <c r="W84" s="126">
        <f t="shared" si="15"/>
        <v>19.634954084936208</v>
      </c>
      <c r="X84" s="127">
        <f t="shared" si="16"/>
        <v>0.3490658503988659</v>
      </c>
      <c r="Y84" s="139">
        <v>66.849999999999994</v>
      </c>
      <c r="Z84" s="126">
        <v>9.4</v>
      </c>
      <c r="AA84" s="126">
        <f t="shared" si="17"/>
        <v>24.374191137955087</v>
      </c>
      <c r="AB84" s="126">
        <f t="shared" si="18"/>
        <v>0.48192903970693424</v>
      </c>
      <c r="AC84" s="127">
        <f t="shared" si="19"/>
        <v>1.8927083333333332</v>
      </c>
      <c r="AE84" s="289">
        <f>IF('1-Manifold (Variable Length)'!$C$8&gt;=A84,A84,'1-Manifold (Variable Length)'!$C$8)</f>
        <v>10</v>
      </c>
      <c r="AF84" s="289">
        <f>IF('2-Manifold (Variable Length)'!$C$8&gt;=A84,A84,'2-Manifold (Variable Length)'!$C$8)</f>
        <v>6</v>
      </c>
      <c r="AH84" s="386">
        <v>81</v>
      </c>
      <c r="AI84" s="392">
        <v>80</v>
      </c>
      <c r="AJ84" s="622">
        <v>15.59</v>
      </c>
      <c r="AK84" s="621">
        <v>0.47</v>
      </c>
      <c r="AL84" s="393">
        <v>46.36</v>
      </c>
      <c r="AM84" s="618">
        <v>2.75</v>
      </c>
      <c r="AN84" s="394">
        <v>113.57</v>
      </c>
      <c r="AO84" s="394">
        <v>15.33</v>
      </c>
      <c r="AP84" s="557">
        <v>109.67</v>
      </c>
      <c r="AQ84" s="335">
        <v>39.600000000000016</v>
      </c>
    </row>
    <row r="85" spans="1:43" ht="15.75" thickBot="1">
      <c r="A85" s="84">
        <v>85</v>
      </c>
      <c r="B85" s="86"/>
      <c r="C85" s="86"/>
      <c r="D85" s="107">
        <v>73</v>
      </c>
      <c r="E85" t="s">
        <v>846</v>
      </c>
      <c r="F85" s="137">
        <v>105.32</v>
      </c>
      <c r="G85" s="138">
        <v>38.47</v>
      </c>
      <c r="H85" s="128">
        <v>60</v>
      </c>
      <c r="I85" s="129">
        <v>24</v>
      </c>
      <c r="J85" s="130">
        <f t="shared" si="10"/>
        <v>19.634954084936208</v>
      </c>
      <c r="K85" s="131">
        <f t="shared" si="11"/>
        <v>3.1415926535897931</v>
      </c>
      <c r="L85" s="140">
        <v>66.849999999999994</v>
      </c>
      <c r="M85" s="130">
        <v>28.2</v>
      </c>
      <c r="N85" s="130">
        <f t="shared" si="12"/>
        <v>24.374191137955087</v>
      </c>
      <c r="O85" s="130">
        <f t="shared" si="13"/>
        <v>4.3373613573624086</v>
      </c>
      <c r="P85" s="131">
        <f t="shared" si="14"/>
        <v>1.8927083333333332</v>
      </c>
      <c r="Q85" s="108">
        <v>73</v>
      </c>
      <c r="R85" t="s">
        <v>842</v>
      </c>
      <c r="S85" s="135">
        <v>103.77</v>
      </c>
      <c r="T85" s="136">
        <v>36.92</v>
      </c>
      <c r="U85" s="122">
        <v>60</v>
      </c>
      <c r="V85" s="123">
        <v>10</v>
      </c>
      <c r="W85" s="126">
        <f t="shared" si="15"/>
        <v>19.634954084936208</v>
      </c>
      <c r="X85" s="127">
        <f t="shared" si="16"/>
        <v>0.54541539124822802</v>
      </c>
      <c r="Y85" s="139">
        <v>66.849999999999994</v>
      </c>
      <c r="Z85" s="126">
        <v>12</v>
      </c>
      <c r="AA85" s="126">
        <f t="shared" si="17"/>
        <v>24.374191137955087</v>
      </c>
      <c r="AB85" s="126">
        <f t="shared" si="18"/>
        <v>0.78539816339744828</v>
      </c>
      <c r="AC85" s="127">
        <f t="shared" si="19"/>
        <v>1.8927083333333332</v>
      </c>
      <c r="AE85" s="289">
        <f>IF('1-Manifold (Variable Length)'!$C$8&gt;=A85,A85,'1-Manifold (Variable Length)'!$C$8)</f>
        <v>10</v>
      </c>
      <c r="AF85" s="289">
        <f>IF('2-Manifold (Variable Length)'!$C$8&gt;=A85,A85,'2-Manifold (Variable Length)'!$C$8)</f>
        <v>6</v>
      </c>
      <c r="AH85" s="386">
        <v>82</v>
      </c>
      <c r="AI85" s="395">
        <v>81</v>
      </c>
      <c r="AJ85" s="623">
        <v>15.59</v>
      </c>
      <c r="AK85" s="624">
        <v>0.47</v>
      </c>
      <c r="AL85" s="397">
        <v>46.36</v>
      </c>
      <c r="AM85" s="396">
        <v>2.75</v>
      </c>
      <c r="AN85" s="396">
        <v>113.57</v>
      </c>
      <c r="AO85" s="396">
        <v>15.33</v>
      </c>
      <c r="AP85" s="619">
        <v>109.67</v>
      </c>
      <c r="AQ85" s="460">
        <v>39.600000000000016</v>
      </c>
    </row>
    <row r="86" spans="1:43">
      <c r="A86" s="84">
        <v>86</v>
      </c>
      <c r="B86" s="86"/>
      <c r="C86" s="86"/>
      <c r="D86" s="86"/>
      <c r="E86" s="86"/>
      <c r="F86" s="86"/>
      <c r="K86" s="85"/>
      <c r="L86" s="85"/>
      <c r="M86" s="85"/>
      <c r="N86" s="85"/>
      <c r="Q86" s="108">
        <v>74</v>
      </c>
      <c r="R86" t="s">
        <v>843</v>
      </c>
      <c r="S86" s="135">
        <v>104.23</v>
      </c>
      <c r="T86" s="136">
        <v>37.380000000000003</v>
      </c>
      <c r="U86" s="122">
        <v>60</v>
      </c>
      <c r="V86" s="123">
        <v>12</v>
      </c>
      <c r="W86" s="126">
        <f t="shared" si="15"/>
        <v>19.634954084936208</v>
      </c>
      <c r="X86" s="127">
        <f t="shared" si="16"/>
        <v>0.78539816339744828</v>
      </c>
      <c r="Y86" s="139">
        <v>66.849999999999994</v>
      </c>
      <c r="Z86" s="126">
        <v>14.58</v>
      </c>
      <c r="AA86" s="126">
        <f t="shared" si="17"/>
        <v>24.374191137955087</v>
      </c>
      <c r="AB86" s="126">
        <f t="shared" si="18"/>
        <v>1.1594244037613981</v>
      </c>
      <c r="AC86" s="127">
        <f t="shared" si="19"/>
        <v>1.8927083333333332</v>
      </c>
      <c r="AE86" s="289">
        <f>IF('1-Manifold (Variable Length)'!$C$8&gt;=A86,A86,'1-Manifold (Variable Length)'!$C$8)</f>
        <v>10</v>
      </c>
      <c r="AF86" s="289">
        <f>IF('2-Manifold (Variable Length)'!$C$8&gt;=A86,A86,'2-Manifold (Variable Length)'!$C$8)</f>
        <v>6</v>
      </c>
    </row>
    <row r="87" spans="1:43" ht="18">
      <c r="A87" s="84">
        <v>87</v>
      </c>
      <c r="B87" s="86"/>
      <c r="C87" s="86"/>
      <c r="D87" s="86"/>
      <c r="E87" s="86"/>
      <c r="F87" s="86"/>
      <c r="G87" s="106" t="s">
        <v>74</v>
      </c>
      <c r="H87" s="118" t="s">
        <v>71</v>
      </c>
      <c r="I87" s="118" t="s">
        <v>149</v>
      </c>
      <c r="J87" s="118" t="s">
        <v>150</v>
      </c>
      <c r="K87" s="85"/>
      <c r="L87" s="85"/>
      <c r="M87" s="85"/>
      <c r="N87" s="85"/>
      <c r="Q87" s="108">
        <v>75</v>
      </c>
      <c r="R87" t="s">
        <v>844</v>
      </c>
      <c r="S87" s="135">
        <v>102.98</v>
      </c>
      <c r="T87" s="136">
        <v>36.130000000000003</v>
      </c>
      <c r="U87" s="122">
        <v>60</v>
      </c>
      <c r="V87" s="123">
        <v>15</v>
      </c>
      <c r="W87" s="126">
        <f t="shared" si="15"/>
        <v>19.634954084936208</v>
      </c>
      <c r="X87" s="127">
        <f t="shared" si="16"/>
        <v>1.227184630308513</v>
      </c>
      <c r="Y87" s="139">
        <v>66.849999999999994</v>
      </c>
      <c r="Z87" s="126">
        <v>17.73</v>
      </c>
      <c r="AA87" s="126">
        <f t="shared" si="17"/>
        <v>24.374191137955087</v>
      </c>
      <c r="AB87" s="126">
        <f t="shared" si="18"/>
        <v>1.7145290994351507</v>
      </c>
      <c r="AC87" s="127">
        <f t="shared" si="19"/>
        <v>1.8927083333333332</v>
      </c>
      <c r="AE87" s="289">
        <f>IF('1-Manifold (Variable Length)'!$C$8&gt;=A87,A87,'1-Manifold (Variable Length)'!$C$8)</f>
        <v>10</v>
      </c>
      <c r="AF87" s="289">
        <f>IF('2-Manifold (Variable Length)'!$C$8&gt;=A87,A87,'2-Manifold (Variable Length)'!$C$8)</f>
        <v>6</v>
      </c>
    </row>
    <row r="88" spans="1:43">
      <c r="A88" s="84">
        <v>88</v>
      </c>
      <c r="B88" s="86"/>
      <c r="C88" s="86"/>
      <c r="D88" s="86"/>
      <c r="E88" s="86"/>
      <c r="F88" s="86"/>
      <c r="G88" s="118" t="s">
        <v>60</v>
      </c>
      <c r="H88" s="118" t="s">
        <v>60</v>
      </c>
      <c r="I88" s="118" t="s">
        <v>60</v>
      </c>
      <c r="J88" s="118" t="s">
        <v>148</v>
      </c>
      <c r="K88" s="85"/>
      <c r="L88" s="85"/>
      <c r="M88" s="85"/>
      <c r="N88" s="85"/>
      <c r="Q88" s="108">
        <v>76</v>
      </c>
      <c r="R88" t="s">
        <v>845</v>
      </c>
      <c r="S88" s="135">
        <v>105.37</v>
      </c>
      <c r="T88" s="136">
        <v>38.520000000000003</v>
      </c>
      <c r="U88" s="122">
        <v>60</v>
      </c>
      <c r="V88" s="123">
        <v>18</v>
      </c>
      <c r="W88" s="126">
        <f t="shared" si="15"/>
        <v>19.634954084936208</v>
      </c>
      <c r="X88" s="127">
        <f t="shared" si="16"/>
        <v>1.7671458676442586</v>
      </c>
      <c r="Y88" s="139">
        <v>66.849999999999994</v>
      </c>
      <c r="Z88" s="126">
        <v>21.45</v>
      </c>
      <c r="AA88" s="126">
        <f t="shared" si="17"/>
        <v>24.374191137955087</v>
      </c>
      <c r="AB88" s="126">
        <f t="shared" si="18"/>
        <v>2.5094698505178781</v>
      </c>
      <c r="AC88" s="127">
        <f t="shared" si="19"/>
        <v>1.8927083333333332</v>
      </c>
      <c r="AE88" s="289">
        <f>IF('1-Manifold (Variable Length)'!$C$8&gt;=A88,A88,'1-Manifold (Variable Length)'!$C$8)</f>
        <v>10</v>
      </c>
      <c r="AF88" s="289">
        <f>IF('2-Manifold (Variable Length)'!$C$8&gt;=A88,A88,'2-Manifold (Variable Length)'!$C$8)</f>
        <v>6</v>
      </c>
    </row>
    <row r="89" spans="1:43">
      <c r="A89" s="84">
        <v>89</v>
      </c>
      <c r="B89" s="86"/>
      <c r="C89" s="86"/>
      <c r="D89" s="86"/>
      <c r="E89" s="86"/>
      <c r="F89" s="601">
        <v>1</v>
      </c>
      <c r="G89" s="119">
        <v>6</v>
      </c>
      <c r="H89" s="120">
        <v>7.05</v>
      </c>
      <c r="I89" s="119">
        <v>24</v>
      </c>
      <c r="J89" s="120">
        <f>(I89-H89)/24</f>
        <v>0.70624999999999993</v>
      </c>
      <c r="K89" s="602"/>
      <c r="L89" s="85"/>
      <c r="M89" s="85"/>
      <c r="N89" s="85"/>
      <c r="Q89" s="108">
        <v>77</v>
      </c>
      <c r="R89" t="s">
        <v>846</v>
      </c>
      <c r="S89" s="135">
        <v>106.19</v>
      </c>
      <c r="T89" s="136">
        <v>39.340000000000003</v>
      </c>
      <c r="U89" s="122">
        <v>60</v>
      </c>
      <c r="V89" s="123">
        <v>24</v>
      </c>
      <c r="W89" s="126">
        <f t="shared" si="15"/>
        <v>19.634954084936208</v>
      </c>
      <c r="X89" s="127">
        <f t="shared" si="16"/>
        <v>3.1415926535897931</v>
      </c>
      <c r="Y89" s="139">
        <v>66.849999999999994</v>
      </c>
      <c r="Z89" s="126">
        <v>28.2</v>
      </c>
      <c r="AA89" s="126">
        <f t="shared" si="17"/>
        <v>24.374191137955087</v>
      </c>
      <c r="AB89" s="126">
        <f t="shared" si="18"/>
        <v>4.3373613573624086</v>
      </c>
      <c r="AC89" s="127">
        <f t="shared" si="19"/>
        <v>1.8927083333333332</v>
      </c>
      <c r="AE89" s="289">
        <f>IF('1-Manifold (Variable Length)'!$C$8&gt;=A89,A89,'1-Manifold (Variable Length)'!$C$8)</f>
        <v>10</v>
      </c>
      <c r="AF89" s="289">
        <f>IF('2-Manifold (Variable Length)'!$C$8&gt;=A89,A89,'2-Manifold (Variable Length)'!$C$8)</f>
        <v>6</v>
      </c>
    </row>
    <row r="90" spans="1:43" ht="15.75" thickBot="1">
      <c r="A90" s="84">
        <v>90</v>
      </c>
      <c r="B90" s="86"/>
      <c r="C90" s="86"/>
      <c r="F90" s="601">
        <v>2</v>
      </c>
      <c r="G90" s="119">
        <v>8</v>
      </c>
      <c r="H90" s="120">
        <v>9.4</v>
      </c>
      <c r="I90" s="119">
        <v>26</v>
      </c>
      <c r="J90" s="120">
        <f>(I90-H90)/24</f>
        <v>0.69166666666666676</v>
      </c>
      <c r="Q90" s="108">
        <v>78</v>
      </c>
      <c r="R90" t="s">
        <v>847</v>
      </c>
      <c r="S90" s="137">
        <v>102.85</v>
      </c>
      <c r="T90" s="138">
        <v>36</v>
      </c>
      <c r="U90" s="128">
        <v>60</v>
      </c>
      <c r="V90" s="129">
        <v>30</v>
      </c>
      <c r="W90" s="130">
        <f t="shared" si="15"/>
        <v>19.634954084936208</v>
      </c>
      <c r="X90" s="131">
        <f t="shared" si="16"/>
        <v>4.908738521234052</v>
      </c>
      <c r="Y90" s="140">
        <v>66.849999999999994</v>
      </c>
      <c r="Z90" s="130">
        <v>34.89</v>
      </c>
      <c r="AA90" s="130">
        <f t="shared" si="17"/>
        <v>24.374191137955087</v>
      </c>
      <c r="AB90" s="130">
        <f t="shared" si="18"/>
        <v>6.6394075529270218</v>
      </c>
      <c r="AC90" s="131">
        <f t="shared" si="19"/>
        <v>1.8927083333333332</v>
      </c>
      <c r="AE90" s="289">
        <f>IF('1-Manifold (Variable Length)'!$C$8&gt;=A90,A90,'1-Manifold (Variable Length)'!$C$8)</f>
        <v>10</v>
      </c>
      <c r="AF90" s="289">
        <f>IF('2-Manifold (Variable Length)'!$C$8&gt;=A90,A90,'2-Manifold (Variable Length)'!$C$8)</f>
        <v>6</v>
      </c>
    </row>
    <row r="91" spans="1:43">
      <c r="A91" s="84">
        <v>91</v>
      </c>
      <c r="B91" s="86"/>
      <c r="C91" s="86"/>
      <c r="F91" s="601">
        <v>3</v>
      </c>
      <c r="G91" s="119">
        <v>10</v>
      </c>
      <c r="H91" s="120">
        <v>12</v>
      </c>
      <c r="I91" s="119">
        <v>28</v>
      </c>
      <c r="J91" s="120">
        <f t="shared" ref="J91:J100" si="20">(I91-H91)/24</f>
        <v>0.66666666666666663</v>
      </c>
      <c r="AE91" s="289">
        <f>IF('1-Manifold (Variable Length)'!$C$8&gt;=A91,A91,'1-Manifold (Variable Length)'!$C$8)</f>
        <v>10</v>
      </c>
      <c r="AF91" s="289">
        <f>IF('2-Manifold (Variable Length)'!$C$8&gt;=A91,A91,'2-Manifold (Variable Length)'!$C$8)</f>
        <v>6</v>
      </c>
    </row>
    <row r="92" spans="1:43">
      <c r="A92" s="84">
        <v>92</v>
      </c>
      <c r="B92" s="86"/>
      <c r="C92" s="86"/>
      <c r="F92" s="601">
        <v>4</v>
      </c>
      <c r="G92" s="86">
        <v>12</v>
      </c>
      <c r="H92" s="120">
        <v>14.5</v>
      </c>
      <c r="I92" s="86">
        <v>31</v>
      </c>
      <c r="J92" s="120">
        <f t="shared" si="20"/>
        <v>0.6875</v>
      </c>
      <c r="AE92" s="289">
        <f>IF('1-Manifold (Variable Length)'!$C$8&gt;=A92,A92,'1-Manifold (Variable Length)'!$C$8)</f>
        <v>10</v>
      </c>
      <c r="AF92" s="289">
        <f>IF('2-Manifold (Variable Length)'!$C$8&gt;=A92,A92,'2-Manifold (Variable Length)'!$C$8)</f>
        <v>6</v>
      </c>
    </row>
    <row r="93" spans="1:43">
      <c r="A93" s="84">
        <v>93</v>
      </c>
      <c r="B93" s="86"/>
      <c r="C93" s="86"/>
      <c r="F93" s="601">
        <v>5</v>
      </c>
      <c r="G93" s="86">
        <v>15</v>
      </c>
      <c r="H93" s="121">
        <v>17.5</v>
      </c>
      <c r="I93" s="86">
        <v>34</v>
      </c>
      <c r="J93" s="120">
        <f t="shared" si="20"/>
        <v>0.6875</v>
      </c>
      <c r="AE93" s="289">
        <f>IF('1-Manifold (Variable Length)'!$C$8&gt;=A93,A93,'1-Manifold (Variable Length)'!$C$8)</f>
        <v>10</v>
      </c>
      <c r="AF93" s="289">
        <f>IF('2-Manifold (Variable Length)'!$C$8&gt;=A93,A93,'2-Manifold (Variable Length)'!$C$8)</f>
        <v>6</v>
      </c>
      <c r="AH93"/>
      <c r="AI93"/>
    </row>
    <row r="94" spans="1:43">
      <c r="A94" s="84">
        <v>94</v>
      </c>
      <c r="B94" s="86"/>
      <c r="C94" s="86"/>
      <c r="F94" s="601">
        <v>6</v>
      </c>
      <c r="G94" s="86">
        <v>18</v>
      </c>
      <c r="H94" s="121">
        <v>21.5</v>
      </c>
      <c r="I94" s="86">
        <v>39</v>
      </c>
      <c r="J94" s="120">
        <f t="shared" si="20"/>
        <v>0.72916666666666663</v>
      </c>
      <c r="AE94" s="289">
        <f>IF('1-Manifold (Variable Length)'!$C$8&gt;=A94,A94,'1-Manifold (Variable Length)'!$C$8)</f>
        <v>10</v>
      </c>
      <c r="AF94" s="289">
        <f>IF('2-Manifold (Variable Length)'!$C$8&gt;=A94,A94,'2-Manifold (Variable Length)'!$C$8)</f>
        <v>6</v>
      </c>
      <c r="AH94"/>
      <c r="AI94"/>
    </row>
    <row r="95" spans="1:43">
      <c r="A95" s="84">
        <v>95</v>
      </c>
      <c r="B95" s="86"/>
      <c r="C95" s="86"/>
      <c r="F95" s="601">
        <v>7</v>
      </c>
      <c r="G95" s="86">
        <v>24</v>
      </c>
      <c r="H95" s="121">
        <v>28</v>
      </c>
      <c r="I95" s="86">
        <v>47</v>
      </c>
      <c r="J95" s="120">
        <f t="shared" si="20"/>
        <v>0.79166666666666663</v>
      </c>
      <c r="AE95" s="289">
        <f>IF('1-Manifold (Variable Length)'!$C$8&gt;=A95,A95,'1-Manifold (Variable Length)'!$C$8)</f>
        <v>10</v>
      </c>
      <c r="AF95" s="289">
        <f>IF('2-Manifold (Variable Length)'!$C$8&gt;=A95,A95,'2-Manifold (Variable Length)'!$C$8)</f>
        <v>6</v>
      </c>
      <c r="AH95"/>
      <c r="AI95"/>
    </row>
    <row r="96" spans="1:43">
      <c r="A96" s="84">
        <v>96</v>
      </c>
      <c r="B96" s="86"/>
      <c r="C96" s="86"/>
      <c r="F96" s="601">
        <v>8</v>
      </c>
      <c r="G96" s="86">
        <v>30</v>
      </c>
      <c r="H96" s="121">
        <v>34.5</v>
      </c>
      <c r="I96" s="86">
        <v>56</v>
      </c>
      <c r="J96" s="120">
        <f t="shared" si="20"/>
        <v>0.89583333333333337</v>
      </c>
      <c r="AE96" s="289">
        <f>IF('1-Manifold (Variable Length)'!$C$8&gt;=A96,A96,'1-Manifold (Variable Length)'!$C$8)</f>
        <v>10</v>
      </c>
      <c r="AF96" s="289">
        <f>IF('2-Manifold (Variable Length)'!$C$8&gt;=A96,A96,'2-Manifold (Variable Length)'!$C$8)</f>
        <v>6</v>
      </c>
      <c r="AH96"/>
      <c r="AI96"/>
    </row>
    <row r="97" spans="1:35">
      <c r="A97" s="84">
        <v>97</v>
      </c>
      <c r="B97" s="86"/>
      <c r="C97" s="86"/>
      <c r="F97" s="601">
        <v>9</v>
      </c>
      <c r="G97" s="86">
        <v>36</v>
      </c>
      <c r="H97" s="121">
        <v>41</v>
      </c>
      <c r="I97" s="86">
        <v>64</v>
      </c>
      <c r="J97" s="120">
        <f t="shared" si="20"/>
        <v>0.95833333333333337</v>
      </c>
      <c r="AE97" s="289">
        <f>IF('1-Manifold (Variable Length)'!$C$8&gt;=A97,A97,'1-Manifold (Variable Length)'!$C$8)</f>
        <v>10</v>
      </c>
      <c r="AF97" s="289">
        <f>IF('2-Manifold (Variable Length)'!$C$8&gt;=A97,A97,'2-Manifold (Variable Length)'!$C$8)</f>
        <v>6</v>
      </c>
      <c r="AH97"/>
      <c r="AI97"/>
    </row>
    <row r="98" spans="1:35">
      <c r="A98" s="84">
        <v>98</v>
      </c>
      <c r="B98" s="86"/>
      <c r="C98" s="86"/>
      <c r="F98" s="601">
        <v>10</v>
      </c>
      <c r="G98" s="86">
        <v>42</v>
      </c>
      <c r="H98" s="121">
        <v>47.5</v>
      </c>
      <c r="I98" s="86">
        <v>72</v>
      </c>
      <c r="J98" s="120">
        <f t="shared" si="20"/>
        <v>1.0208333333333333</v>
      </c>
      <c r="AE98" s="289">
        <f>IF('1-Manifold (Variable Length)'!$C$8&gt;=A98,A98,'1-Manifold (Variable Length)'!$C$8)</f>
        <v>10</v>
      </c>
      <c r="AF98" s="289">
        <f>IF('2-Manifold (Variable Length)'!$C$8&gt;=A98,A98,'2-Manifold (Variable Length)'!$C$8)</f>
        <v>6</v>
      </c>
      <c r="AH98"/>
      <c r="AI98"/>
    </row>
    <row r="99" spans="1:35">
      <c r="A99" s="84">
        <v>99</v>
      </c>
      <c r="B99" s="86"/>
      <c r="C99" s="86"/>
      <c r="F99" s="601">
        <v>11</v>
      </c>
      <c r="G99" s="563">
        <v>48</v>
      </c>
      <c r="H99" s="121">
        <v>54.48</v>
      </c>
      <c r="I99" s="563">
        <v>81</v>
      </c>
      <c r="J99" s="120">
        <f t="shared" si="20"/>
        <v>1.1050000000000002</v>
      </c>
      <c r="AE99" s="289">
        <f>IF('1-Manifold (Variable Length)'!$C$8&gt;=A99,A99,'1-Manifold (Variable Length)'!$C$8)</f>
        <v>10</v>
      </c>
      <c r="AF99" s="289">
        <f>IF('2-Manifold (Variable Length)'!$C$8&gt;=A99,A99,'2-Manifold (Variable Length)'!$C$8)</f>
        <v>6</v>
      </c>
      <c r="AH99"/>
      <c r="AI99"/>
    </row>
    <row r="100" spans="1:35">
      <c r="A100" s="84">
        <v>100</v>
      </c>
      <c r="B100" s="86"/>
      <c r="C100" s="86"/>
      <c r="F100" s="601">
        <v>12</v>
      </c>
      <c r="G100" s="86">
        <v>60</v>
      </c>
      <c r="H100" s="121">
        <v>66.849999999999994</v>
      </c>
      <c r="I100" s="86">
        <v>96</v>
      </c>
      <c r="J100" s="120">
        <f t="shared" si="20"/>
        <v>1.2145833333333336</v>
      </c>
      <c r="AE100" s="440">
        <f>IF('1-Manifold (Variable Length)'!$C$8&gt;=A100,A100,'1-Manifold (Variable Length)'!$C$8)</f>
        <v>10</v>
      </c>
      <c r="AF100" s="440">
        <f>IF('2-Manifold (Variable Length)'!$C$8&gt;=A100,A100,'2-Manifold (Variable Length)'!$C$8)</f>
        <v>6</v>
      </c>
      <c r="AH100"/>
      <c r="AI100"/>
    </row>
    <row r="101" spans="1:35">
      <c r="B101" s="86"/>
      <c r="C101" s="86"/>
      <c r="AH101"/>
      <c r="AI101"/>
    </row>
    <row r="102" spans="1:35" ht="15.75" thickBot="1">
      <c r="D102" s="107">
        <v>1</v>
      </c>
      <c r="E102" s="533">
        <v>2</v>
      </c>
      <c r="F102" s="533">
        <v>3</v>
      </c>
      <c r="G102" s="533">
        <v>4</v>
      </c>
      <c r="H102" s="533">
        <v>5</v>
      </c>
      <c r="I102" s="533">
        <v>6</v>
      </c>
      <c r="J102" s="533">
        <v>7</v>
      </c>
      <c r="K102" s="533">
        <v>8</v>
      </c>
      <c r="L102" s="533">
        <v>9</v>
      </c>
      <c r="M102" s="533">
        <v>10</v>
      </c>
      <c r="N102" s="533">
        <v>11</v>
      </c>
      <c r="O102" s="533">
        <v>12</v>
      </c>
      <c r="P102" s="533">
        <v>13</v>
      </c>
      <c r="Q102" s="155">
        <v>1</v>
      </c>
      <c r="R102" s="156">
        <v>2</v>
      </c>
      <c r="S102" s="156">
        <v>3</v>
      </c>
      <c r="T102" s="156">
        <v>4</v>
      </c>
      <c r="U102" s="156">
        <v>5</v>
      </c>
      <c r="V102" s="156">
        <v>6</v>
      </c>
      <c r="W102" s="156">
        <v>7</v>
      </c>
      <c r="X102" s="156">
        <v>8</v>
      </c>
      <c r="Y102" s="156">
        <v>9</v>
      </c>
      <c r="Z102" s="156">
        <v>10</v>
      </c>
      <c r="AA102" s="156">
        <v>11</v>
      </c>
      <c r="AB102" s="156">
        <v>12</v>
      </c>
      <c r="AC102" s="156">
        <v>13</v>
      </c>
      <c r="AH102"/>
      <c r="AI102"/>
    </row>
    <row r="103" spans="1:35" ht="15.75" thickBot="1">
      <c r="D103" s="86"/>
      <c r="E103" s="86"/>
      <c r="F103" s="860" t="s">
        <v>683</v>
      </c>
      <c r="G103" s="861"/>
      <c r="H103" s="860" t="s">
        <v>74</v>
      </c>
      <c r="I103" s="862"/>
      <c r="J103" s="862"/>
      <c r="K103" s="861"/>
      <c r="L103" s="860" t="s">
        <v>71</v>
      </c>
      <c r="M103" s="862"/>
      <c r="N103" s="862"/>
      <c r="O103" s="861"/>
      <c r="P103" s="158" t="s">
        <v>147</v>
      </c>
      <c r="Q103"/>
      <c r="R103"/>
      <c r="S103" s="860" t="s">
        <v>694</v>
      </c>
      <c r="T103" s="861"/>
      <c r="U103" s="860" t="s">
        <v>74</v>
      </c>
      <c r="V103" s="862"/>
      <c r="W103" s="862"/>
      <c r="X103" s="861"/>
      <c r="Y103" s="860" t="s">
        <v>71</v>
      </c>
      <c r="Z103" s="862"/>
      <c r="AA103" s="862"/>
      <c r="AB103" s="861"/>
      <c r="AC103" s="158" t="s">
        <v>147</v>
      </c>
      <c r="AH103"/>
      <c r="AI103"/>
    </row>
    <row r="104" spans="1:35" ht="18">
      <c r="F104" s="423" t="s">
        <v>67</v>
      </c>
      <c r="G104" s="425" t="s">
        <v>66</v>
      </c>
      <c r="H104" s="423" t="s">
        <v>72</v>
      </c>
      <c r="I104" s="424" t="s">
        <v>73</v>
      </c>
      <c r="J104" s="424" t="s">
        <v>75</v>
      </c>
      <c r="K104" s="425" t="s">
        <v>76</v>
      </c>
      <c r="L104" s="423" t="s">
        <v>72</v>
      </c>
      <c r="M104" s="424" t="s">
        <v>73</v>
      </c>
      <c r="N104" s="424" t="s">
        <v>75</v>
      </c>
      <c r="O104" s="425" t="s">
        <v>76</v>
      </c>
      <c r="P104" s="159" t="s">
        <v>52</v>
      </c>
      <c r="Q104" s="106"/>
      <c r="R104"/>
      <c r="S104" s="132" t="s">
        <v>67</v>
      </c>
      <c r="T104" s="134" t="s">
        <v>66</v>
      </c>
      <c r="U104" s="132" t="s">
        <v>72</v>
      </c>
      <c r="V104" s="133" t="s">
        <v>73</v>
      </c>
      <c r="W104" s="133" t="s">
        <v>75</v>
      </c>
      <c r="X104" s="134" t="s">
        <v>76</v>
      </c>
      <c r="Y104" s="132" t="s">
        <v>72</v>
      </c>
      <c r="Z104" s="133" t="s">
        <v>73</v>
      </c>
      <c r="AA104" s="133" t="s">
        <v>75</v>
      </c>
      <c r="AB104" s="134" t="s">
        <v>76</v>
      </c>
      <c r="AC104" s="159" t="s">
        <v>52</v>
      </c>
      <c r="AE104" s="534"/>
      <c r="AF104" s="82">
        <v>1</v>
      </c>
      <c r="AH104"/>
      <c r="AI104"/>
    </row>
    <row r="105" spans="1:35" ht="15.75" thickBot="1">
      <c r="F105" s="141" t="s">
        <v>60</v>
      </c>
      <c r="G105" s="142" t="s">
        <v>60</v>
      </c>
      <c r="H105" s="141" t="s">
        <v>60</v>
      </c>
      <c r="I105" s="143" t="s">
        <v>60</v>
      </c>
      <c r="J105" s="143" t="s">
        <v>77</v>
      </c>
      <c r="K105" s="142" t="s">
        <v>77</v>
      </c>
      <c r="L105" s="141" t="s">
        <v>60</v>
      </c>
      <c r="M105" s="143" t="s">
        <v>60</v>
      </c>
      <c r="N105" s="143" t="s">
        <v>77</v>
      </c>
      <c r="O105" s="142" t="s">
        <v>77</v>
      </c>
      <c r="P105" s="160" t="s">
        <v>148</v>
      </c>
      <c r="Q105" s="106"/>
      <c r="R105"/>
      <c r="S105" s="141" t="s">
        <v>60</v>
      </c>
      <c r="T105" s="142" t="s">
        <v>60</v>
      </c>
      <c r="U105" s="141" t="s">
        <v>60</v>
      </c>
      <c r="V105" s="143" t="s">
        <v>60</v>
      </c>
      <c r="W105" s="143" t="s">
        <v>77</v>
      </c>
      <c r="X105" s="142" t="s">
        <v>77</v>
      </c>
      <c r="Y105" s="141" t="s">
        <v>60</v>
      </c>
      <c r="Z105" s="143" t="s">
        <v>60</v>
      </c>
      <c r="AA105" s="143" t="s">
        <v>77</v>
      </c>
      <c r="AB105" s="142" t="s">
        <v>77</v>
      </c>
      <c r="AC105" s="160" t="s">
        <v>148</v>
      </c>
      <c r="AE105" s="534"/>
      <c r="AF105" s="82">
        <v>2</v>
      </c>
      <c r="AH105"/>
      <c r="AI105"/>
    </row>
    <row r="106" spans="1:35">
      <c r="D106" s="603">
        <v>1</v>
      </c>
      <c r="E106" t="s">
        <v>850</v>
      </c>
      <c r="F106" s="429">
        <v>36.49</v>
      </c>
      <c r="G106" s="430">
        <v>29.44</v>
      </c>
      <c r="H106" s="426">
        <v>6</v>
      </c>
      <c r="I106" s="426">
        <v>4</v>
      </c>
      <c r="J106" s="126">
        <f t="shared" ref="J106:K109" si="21">PI()*(H106/12)^2/4</f>
        <v>0.19634954084936207</v>
      </c>
      <c r="K106" s="127">
        <f t="shared" si="21"/>
        <v>8.7266462599716474E-2</v>
      </c>
      <c r="L106" s="426">
        <v>7.05</v>
      </c>
      <c r="M106" s="426">
        <v>4.75</v>
      </c>
      <c r="N106" s="126">
        <f t="shared" ref="N106:N107" si="22">PI()*(L106/12)^2/4</f>
        <v>0.27108508483515054</v>
      </c>
      <c r="O106" s="126">
        <f t="shared" ref="O106:O107" si="23">PI()*(M106/12)^2/4</f>
        <v>0.12305934765038143</v>
      </c>
      <c r="P106" s="127">
        <f t="shared" ref="P106:P107" si="24">(IF(1.5*L106+12&gt;=L106+16,1.5*L106+12,L106+16)-L106)/24</f>
        <v>0.66666666666666663</v>
      </c>
      <c r="Q106" s="108">
        <v>1</v>
      </c>
      <c r="R106" t="s">
        <v>78</v>
      </c>
      <c r="S106" s="147">
        <v>57.16</v>
      </c>
      <c r="T106" s="148">
        <v>47.76</v>
      </c>
      <c r="U106" s="149">
        <v>8</v>
      </c>
      <c r="V106" s="150">
        <v>4</v>
      </c>
      <c r="W106" s="151">
        <f>PI()*(U106/12)^2/4</f>
        <v>0.3490658503988659</v>
      </c>
      <c r="X106" s="152">
        <f>PI()*(V106/12)^2/4</f>
        <v>8.7266462599716474E-2</v>
      </c>
      <c r="Y106" s="153">
        <v>9.4</v>
      </c>
      <c r="Z106" s="151">
        <v>4.75</v>
      </c>
      <c r="AA106" s="151">
        <f>PI()*(Y106/12)^2/4</f>
        <v>0.48192903970693424</v>
      </c>
      <c r="AB106" s="151">
        <f>PI()*(Z106/12)^2/4</f>
        <v>0.12305934765038143</v>
      </c>
      <c r="AC106" s="152">
        <f>(IF(1.5*Y106+12&gt;=Y106+16,1.5*Y106+12,Y106+16)-Y106)/24</f>
        <v>0.69583333333333341</v>
      </c>
      <c r="AE106" s="534"/>
      <c r="AF106" s="82">
        <v>3</v>
      </c>
      <c r="AH106"/>
      <c r="AI106"/>
    </row>
    <row r="107" spans="1:35">
      <c r="D107" s="603">
        <v>2</v>
      </c>
      <c r="E107" t="s">
        <v>684</v>
      </c>
      <c r="F107" s="531">
        <v>36.659999999999997</v>
      </c>
      <c r="G107" s="532">
        <v>29.61</v>
      </c>
      <c r="H107" s="529">
        <v>6</v>
      </c>
      <c r="I107" s="529">
        <v>6</v>
      </c>
      <c r="J107" s="126">
        <f t="shared" si="21"/>
        <v>0.19634954084936207</v>
      </c>
      <c r="K107" s="127">
        <f t="shared" si="21"/>
        <v>0.19634954084936207</v>
      </c>
      <c r="L107" s="529">
        <v>7.05</v>
      </c>
      <c r="M107" s="529">
        <v>7.05</v>
      </c>
      <c r="N107" s="126">
        <f t="shared" si="22"/>
        <v>0.27108508483515054</v>
      </c>
      <c r="O107" s="126">
        <f t="shared" si="23"/>
        <v>0.27108508483515054</v>
      </c>
      <c r="P107" s="127">
        <f t="shared" si="24"/>
        <v>0.66666666666666663</v>
      </c>
      <c r="Q107" s="108">
        <v>2</v>
      </c>
      <c r="R107" t="s">
        <v>79</v>
      </c>
      <c r="S107" s="135">
        <v>57.71</v>
      </c>
      <c r="T107" s="136">
        <v>48.31</v>
      </c>
      <c r="U107" s="124">
        <v>8</v>
      </c>
      <c r="V107" s="125">
        <v>6</v>
      </c>
      <c r="W107" s="126">
        <f t="shared" ref="W107:W157" si="25">PI()*(U107/12)^2/4</f>
        <v>0.3490658503988659</v>
      </c>
      <c r="X107" s="127">
        <f t="shared" ref="X107:X157" si="26">PI()*(V107/12)^2/4</f>
        <v>0.19634954084936207</v>
      </c>
      <c r="Y107" s="139">
        <v>9.4</v>
      </c>
      <c r="Z107" s="126">
        <v>7.05</v>
      </c>
      <c r="AA107" s="126">
        <f t="shared" ref="AA107:AA157" si="27">PI()*(Y107/12)^2/4</f>
        <v>0.48192903970693424</v>
      </c>
      <c r="AB107" s="126">
        <f t="shared" ref="AB107:AB157" si="28">PI()*(Z107/12)^2/4</f>
        <v>0.27108508483515054</v>
      </c>
      <c r="AC107" s="127">
        <f t="shared" ref="AC107:AC157" si="29">(IF(1.5*Y107+12&gt;=Y107+16,1.5*Y107+12,Y107+16)-Y107)/24</f>
        <v>0.69583333333333341</v>
      </c>
      <c r="AE107" s="534"/>
      <c r="AF107" s="82">
        <v>4</v>
      </c>
      <c r="AH107"/>
      <c r="AI107"/>
    </row>
    <row r="108" spans="1:35">
      <c r="D108" s="603">
        <v>3</v>
      </c>
      <c r="E108" t="s">
        <v>78</v>
      </c>
      <c r="F108" s="531">
        <v>38.74</v>
      </c>
      <c r="G108" s="532">
        <v>29.44</v>
      </c>
      <c r="H108" s="529">
        <v>8</v>
      </c>
      <c r="I108" s="529">
        <v>4</v>
      </c>
      <c r="J108" s="126">
        <f t="shared" si="21"/>
        <v>0.3490658503988659</v>
      </c>
      <c r="K108" s="127">
        <f t="shared" si="21"/>
        <v>8.7266462599716474E-2</v>
      </c>
      <c r="L108" s="139">
        <v>9.4</v>
      </c>
      <c r="M108" s="529">
        <v>4.75</v>
      </c>
      <c r="N108" s="126">
        <f t="shared" ref="N108" si="30">PI()*(L108/12)^2/4</f>
        <v>0.48192903970693424</v>
      </c>
      <c r="O108" s="126">
        <f t="shared" ref="O108" si="31">PI()*(M108/12)^2/4</f>
        <v>0.12305934765038143</v>
      </c>
      <c r="P108" s="127">
        <f t="shared" ref="P108" si="32">(IF(1.5*L108+12&gt;=L108+16,1.5*L108+12,L108+16)-L108)/24</f>
        <v>0.69583333333333341</v>
      </c>
      <c r="Q108" s="108">
        <v>3</v>
      </c>
      <c r="R108" t="s">
        <v>80</v>
      </c>
      <c r="S108" s="135">
        <v>57.98</v>
      </c>
      <c r="T108" s="136">
        <v>48.58</v>
      </c>
      <c r="U108" s="124">
        <v>8</v>
      </c>
      <c r="V108" s="125">
        <v>8</v>
      </c>
      <c r="W108" s="126">
        <f t="shared" si="25"/>
        <v>0.3490658503988659</v>
      </c>
      <c r="X108" s="127">
        <f t="shared" si="26"/>
        <v>0.3490658503988659</v>
      </c>
      <c r="Y108" s="139">
        <v>9.4</v>
      </c>
      <c r="Z108" s="126">
        <v>9.4</v>
      </c>
      <c r="AA108" s="126">
        <f t="shared" si="27"/>
        <v>0.48192903970693424</v>
      </c>
      <c r="AB108" s="126">
        <f t="shared" si="28"/>
        <v>0.48192903970693424</v>
      </c>
      <c r="AC108" s="127">
        <f t="shared" si="29"/>
        <v>0.69583333333333341</v>
      </c>
      <c r="AE108" s="534"/>
      <c r="AF108" s="82">
        <v>5</v>
      </c>
      <c r="AH108"/>
      <c r="AI108"/>
    </row>
    <row r="109" spans="1:35">
      <c r="D109" s="603">
        <v>4</v>
      </c>
      <c r="E109" t="s">
        <v>79</v>
      </c>
      <c r="F109" s="135">
        <v>39.01</v>
      </c>
      <c r="G109" s="136">
        <v>29.61</v>
      </c>
      <c r="H109" s="124">
        <v>8</v>
      </c>
      <c r="I109" s="125">
        <v>6</v>
      </c>
      <c r="J109" s="126">
        <f t="shared" si="21"/>
        <v>0.3490658503988659</v>
      </c>
      <c r="K109" s="127">
        <f t="shared" si="21"/>
        <v>0.19634954084936207</v>
      </c>
      <c r="L109" s="139">
        <v>9.4</v>
      </c>
      <c r="M109" s="126">
        <v>7.05</v>
      </c>
      <c r="N109" s="126">
        <f t="shared" ref="N109:N134" si="33">PI()*(L109/12)^2/4</f>
        <v>0.48192903970693424</v>
      </c>
      <c r="O109" s="126">
        <f t="shared" ref="O109:O134" si="34">PI()*(M109/12)^2/4</f>
        <v>0.27108508483515054</v>
      </c>
      <c r="P109" s="127">
        <f t="shared" ref="P109:P134" si="35">(IF(1.5*L109+12&gt;=L109+16,1.5*L109+12,L109+16)-L109)/24</f>
        <v>0.69583333333333341</v>
      </c>
      <c r="Q109" s="108">
        <v>4</v>
      </c>
      <c r="R109" t="s">
        <v>81</v>
      </c>
      <c r="S109" s="135">
        <v>59.76</v>
      </c>
      <c r="T109" s="136">
        <v>47.76</v>
      </c>
      <c r="U109" s="122">
        <v>10</v>
      </c>
      <c r="V109" s="123">
        <v>4</v>
      </c>
      <c r="W109" s="126">
        <f t="shared" si="25"/>
        <v>0.54541539124822802</v>
      </c>
      <c r="X109" s="127">
        <f t="shared" si="26"/>
        <v>8.7266462599716474E-2</v>
      </c>
      <c r="Y109" s="139">
        <v>12</v>
      </c>
      <c r="Z109" s="126">
        <v>4.75</v>
      </c>
      <c r="AA109" s="126">
        <f t="shared" si="27"/>
        <v>0.78539816339744828</v>
      </c>
      <c r="AB109" s="126">
        <f t="shared" si="28"/>
        <v>0.12305934765038143</v>
      </c>
      <c r="AC109" s="127">
        <f t="shared" si="29"/>
        <v>0.75</v>
      </c>
      <c r="AE109" s="534"/>
      <c r="AF109" s="82">
        <v>6</v>
      </c>
      <c r="AH109"/>
      <c r="AI109"/>
    </row>
    <row r="110" spans="1:35">
      <c r="D110" s="603">
        <v>5</v>
      </c>
      <c r="E110" t="s">
        <v>80</v>
      </c>
      <c r="F110" s="135">
        <v>38.549999999999997</v>
      </c>
      <c r="G110" s="136">
        <v>29.15</v>
      </c>
      <c r="H110" s="124">
        <v>8</v>
      </c>
      <c r="I110" s="125">
        <v>8</v>
      </c>
      <c r="J110" s="126">
        <f t="shared" ref="J110:J134" si="36">PI()*(H110/12)^2/4</f>
        <v>0.3490658503988659</v>
      </c>
      <c r="K110" s="127">
        <f t="shared" ref="K110:K134" si="37">PI()*(I110/12)^2/4</f>
        <v>0.3490658503988659</v>
      </c>
      <c r="L110" s="139">
        <v>9.4</v>
      </c>
      <c r="M110" s="126">
        <v>9.4</v>
      </c>
      <c r="N110" s="126">
        <f t="shared" si="33"/>
        <v>0.48192903970693424</v>
      </c>
      <c r="O110" s="126">
        <f t="shared" si="34"/>
        <v>0.48192903970693424</v>
      </c>
      <c r="P110" s="127">
        <f t="shared" si="35"/>
        <v>0.69583333333333341</v>
      </c>
      <c r="Q110" s="108">
        <v>5</v>
      </c>
      <c r="R110" t="s">
        <v>82</v>
      </c>
      <c r="S110" s="135">
        <v>60.31</v>
      </c>
      <c r="T110" s="136">
        <v>48.31</v>
      </c>
      <c r="U110" s="122">
        <v>10</v>
      </c>
      <c r="V110" s="123">
        <v>6</v>
      </c>
      <c r="W110" s="126">
        <f t="shared" si="25"/>
        <v>0.54541539124822802</v>
      </c>
      <c r="X110" s="127">
        <f t="shared" si="26"/>
        <v>0.19634954084936207</v>
      </c>
      <c r="Y110" s="139">
        <v>12</v>
      </c>
      <c r="Z110" s="126">
        <v>7.05</v>
      </c>
      <c r="AA110" s="126">
        <f t="shared" si="27"/>
        <v>0.78539816339744828</v>
      </c>
      <c r="AB110" s="126">
        <f t="shared" si="28"/>
        <v>0.27108508483515054</v>
      </c>
      <c r="AC110" s="127">
        <f t="shared" si="29"/>
        <v>0.75</v>
      </c>
      <c r="AE110" s="534"/>
      <c r="AF110" s="82">
        <v>7</v>
      </c>
      <c r="AH110"/>
      <c r="AI110"/>
    </row>
    <row r="111" spans="1:35">
      <c r="D111" s="603">
        <v>6</v>
      </c>
      <c r="E111" t="s">
        <v>81</v>
      </c>
      <c r="F111" s="135">
        <v>41.44</v>
      </c>
      <c r="G111" s="136">
        <v>29.44</v>
      </c>
      <c r="H111" s="124">
        <v>10</v>
      </c>
      <c r="I111" s="125">
        <v>4</v>
      </c>
      <c r="J111" s="126">
        <f t="shared" si="36"/>
        <v>0.54541539124822802</v>
      </c>
      <c r="K111" s="127">
        <f t="shared" si="37"/>
        <v>8.7266462599716474E-2</v>
      </c>
      <c r="L111" s="139">
        <v>12</v>
      </c>
      <c r="M111" s="126">
        <v>4.75</v>
      </c>
      <c r="N111" s="126">
        <f t="shared" si="33"/>
        <v>0.78539816339744828</v>
      </c>
      <c r="O111" s="126">
        <f t="shared" si="34"/>
        <v>0.12305934765038143</v>
      </c>
      <c r="P111" s="127">
        <f t="shared" si="35"/>
        <v>0.75</v>
      </c>
      <c r="Q111" s="108">
        <v>6</v>
      </c>
      <c r="R111" t="s">
        <v>83</v>
      </c>
      <c r="S111" s="135">
        <v>60.58</v>
      </c>
      <c r="T111" s="136">
        <v>48.58</v>
      </c>
      <c r="U111" s="122">
        <v>10</v>
      </c>
      <c r="V111" s="123">
        <v>8</v>
      </c>
      <c r="W111" s="126">
        <f t="shared" si="25"/>
        <v>0.54541539124822802</v>
      </c>
      <c r="X111" s="127">
        <f t="shared" si="26"/>
        <v>0.3490658503988659</v>
      </c>
      <c r="Y111" s="139">
        <v>12</v>
      </c>
      <c r="Z111" s="126">
        <v>9.4</v>
      </c>
      <c r="AA111" s="126">
        <f t="shared" si="27"/>
        <v>0.78539816339744828</v>
      </c>
      <c r="AB111" s="126">
        <f t="shared" si="28"/>
        <v>0.48192903970693424</v>
      </c>
      <c r="AC111" s="127">
        <f t="shared" si="29"/>
        <v>0.75</v>
      </c>
      <c r="AE111" s="534"/>
      <c r="AF111" s="82">
        <v>8</v>
      </c>
      <c r="AH111"/>
      <c r="AI111"/>
    </row>
    <row r="112" spans="1:35">
      <c r="D112" s="603">
        <v>7</v>
      </c>
      <c r="E112" t="s">
        <v>82</v>
      </c>
      <c r="F112" s="135">
        <v>41.61</v>
      </c>
      <c r="G112" s="136">
        <v>29.61</v>
      </c>
      <c r="H112" s="122">
        <v>10</v>
      </c>
      <c r="I112" s="123">
        <v>6</v>
      </c>
      <c r="J112" s="126">
        <f t="shared" si="36"/>
        <v>0.54541539124822802</v>
      </c>
      <c r="K112" s="127">
        <f t="shared" si="37"/>
        <v>0.19634954084936207</v>
      </c>
      <c r="L112" s="139">
        <v>12</v>
      </c>
      <c r="M112" s="126">
        <v>7.05</v>
      </c>
      <c r="N112" s="126">
        <f t="shared" si="33"/>
        <v>0.78539816339744828</v>
      </c>
      <c r="O112" s="126">
        <f t="shared" si="34"/>
        <v>0.27108508483515054</v>
      </c>
      <c r="P112" s="127">
        <f t="shared" si="35"/>
        <v>0.75</v>
      </c>
      <c r="Q112" s="108">
        <v>7</v>
      </c>
      <c r="R112" t="s">
        <v>84</v>
      </c>
      <c r="S112" s="135">
        <v>59.69</v>
      </c>
      <c r="T112" s="136">
        <v>47.69</v>
      </c>
      <c r="U112" s="122">
        <v>10</v>
      </c>
      <c r="V112" s="123">
        <v>10</v>
      </c>
      <c r="W112" s="126">
        <f t="shared" si="25"/>
        <v>0.54541539124822802</v>
      </c>
      <c r="X112" s="127">
        <f t="shared" si="26"/>
        <v>0.54541539124822802</v>
      </c>
      <c r="Y112" s="154">
        <v>12</v>
      </c>
      <c r="Z112" s="126">
        <v>12</v>
      </c>
      <c r="AA112" s="126">
        <f t="shared" si="27"/>
        <v>0.78539816339744828</v>
      </c>
      <c r="AB112" s="126">
        <f t="shared" si="28"/>
        <v>0.78539816339744828</v>
      </c>
      <c r="AC112" s="127">
        <f t="shared" si="29"/>
        <v>0.75</v>
      </c>
      <c r="AE112" s="534"/>
      <c r="AF112" s="82">
        <v>9</v>
      </c>
      <c r="AH112"/>
      <c r="AI112"/>
    </row>
    <row r="113" spans="4:35">
      <c r="D113" s="603">
        <v>8</v>
      </c>
      <c r="E113" t="s">
        <v>83</v>
      </c>
      <c r="F113" s="135">
        <v>41.15</v>
      </c>
      <c r="G113" s="136">
        <v>29.15</v>
      </c>
      <c r="H113" s="122">
        <v>10</v>
      </c>
      <c r="I113" s="123">
        <v>8</v>
      </c>
      <c r="J113" s="126">
        <f t="shared" si="36"/>
        <v>0.54541539124822802</v>
      </c>
      <c r="K113" s="127">
        <f t="shared" si="37"/>
        <v>0.3490658503988659</v>
      </c>
      <c r="L113" s="139">
        <v>12</v>
      </c>
      <c r="M113" s="126">
        <v>9.4</v>
      </c>
      <c r="N113" s="126">
        <f t="shared" si="33"/>
        <v>0.78539816339744828</v>
      </c>
      <c r="O113" s="126">
        <f t="shared" si="34"/>
        <v>0.48192903970693424</v>
      </c>
      <c r="P113" s="127">
        <f t="shared" si="35"/>
        <v>0.75</v>
      </c>
      <c r="Q113" s="108">
        <v>8</v>
      </c>
      <c r="R113" t="s">
        <v>85</v>
      </c>
      <c r="S113" s="135">
        <v>62.34</v>
      </c>
      <c r="T113" s="136">
        <v>47.76</v>
      </c>
      <c r="U113" s="122">
        <v>12</v>
      </c>
      <c r="V113" s="123">
        <v>4</v>
      </c>
      <c r="W113" s="126">
        <f t="shared" si="25"/>
        <v>0.78539816339744828</v>
      </c>
      <c r="X113" s="127">
        <f t="shared" si="26"/>
        <v>8.7266462599716474E-2</v>
      </c>
      <c r="Y113" s="139">
        <v>14.58</v>
      </c>
      <c r="Z113" s="126">
        <v>4.75</v>
      </c>
      <c r="AA113" s="126">
        <f t="shared" si="27"/>
        <v>1.1594244037613981</v>
      </c>
      <c r="AB113" s="126">
        <f t="shared" si="28"/>
        <v>0.12305934765038143</v>
      </c>
      <c r="AC113" s="127">
        <f t="shared" si="29"/>
        <v>0.8037500000000003</v>
      </c>
      <c r="AE113" s="534"/>
      <c r="AF113" s="82">
        <v>10</v>
      </c>
      <c r="AH113"/>
      <c r="AI113"/>
    </row>
    <row r="114" spans="4:35">
      <c r="D114" s="603">
        <v>9</v>
      </c>
      <c r="E114" t="s">
        <v>84</v>
      </c>
      <c r="F114" s="135">
        <v>41.23</v>
      </c>
      <c r="G114" s="136">
        <v>29.23</v>
      </c>
      <c r="H114" s="122">
        <v>10</v>
      </c>
      <c r="I114" s="123">
        <v>10</v>
      </c>
      <c r="J114" s="126">
        <f t="shared" si="36"/>
        <v>0.54541539124822802</v>
      </c>
      <c r="K114" s="127">
        <f t="shared" si="37"/>
        <v>0.54541539124822802</v>
      </c>
      <c r="L114" s="139">
        <v>12</v>
      </c>
      <c r="M114" s="126">
        <v>12</v>
      </c>
      <c r="N114" s="126">
        <f t="shared" si="33"/>
        <v>0.78539816339744828</v>
      </c>
      <c r="O114" s="126">
        <f t="shared" si="34"/>
        <v>0.78539816339744828</v>
      </c>
      <c r="P114" s="127">
        <f t="shared" si="35"/>
        <v>0.75</v>
      </c>
      <c r="Q114" s="108">
        <v>9</v>
      </c>
      <c r="R114" t="s">
        <v>86</v>
      </c>
      <c r="S114" s="135">
        <v>62.89</v>
      </c>
      <c r="T114" s="136">
        <v>48.31</v>
      </c>
      <c r="U114" s="122">
        <v>12</v>
      </c>
      <c r="V114" s="123">
        <v>6</v>
      </c>
      <c r="W114" s="126">
        <f t="shared" si="25"/>
        <v>0.78539816339744828</v>
      </c>
      <c r="X114" s="127">
        <f t="shared" si="26"/>
        <v>0.19634954084936207</v>
      </c>
      <c r="Y114" s="139">
        <v>14.58</v>
      </c>
      <c r="Z114" s="126">
        <v>7.05</v>
      </c>
      <c r="AA114" s="126">
        <f t="shared" si="27"/>
        <v>1.1594244037613981</v>
      </c>
      <c r="AB114" s="126">
        <f t="shared" si="28"/>
        <v>0.27108508483515054</v>
      </c>
      <c r="AC114" s="127">
        <f t="shared" si="29"/>
        <v>0.8037500000000003</v>
      </c>
      <c r="AE114" s="534"/>
      <c r="AF114" s="82">
        <v>11</v>
      </c>
      <c r="AH114"/>
      <c r="AI114"/>
    </row>
    <row r="115" spans="4:35">
      <c r="D115" s="603">
        <v>10</v>
      </c>
      <c r="E115" t="s">
        <v>85</v>
      </c>
      <c r="F115" s="135">
        <v>44.02</v>
      </c>
      <c r="G115" s="136">
        <v>29.44</v>
      </c>
      <c r="H115" s="122">
        <v>12</v>
      </c>
      <c r="I115" s="530">
        <v>4</v>
      </c>
      <c r="J115" s="126">
        <f t="shared" si="36"/>
        <v>0.78539816339744828</v>
      </c>
      <c r="K115" s="127">
        <f t="shared" si="37"/>
        <v>8.7266462599716474E-2</v>
      </c>
      <c r="L115" s="139">
        <v>14.58</v>
      </c>
      <c r="M115" s="126">
        <v>4.75</v>
      </c>
      <c r="N115" s="126">
        <f t="shared" si="33"/>
        <v>1.1594244037613981</v>
      </c>
      <c r="O115" s="126">
        <f t="shared" si="34"/>
        <v>0.12305934765038143</v>
      </c>
      <c r="P115" s="127">
        <f t="shared" si="35"/>
        <v>0.8037500000000003</v>
      </c>
      <c r="Q115" s="108">
        <v>10</v>
      </c>
      <c r="R115" t="s">
        <v>87</v>
      </c>
      <c r="S115" s="135">
        <v>63.16</v>
      </c>
      <c r="T115" s="136">
        <v>48.58</v>
      </c>
      <c r="U115" s="122">
        <v>12</v>
      </c>
      <c r="V115" s="123">
        <v>8</v>
      </c>
      <c r="W115" s="126">
        <f t="shared" si="25"/>
        <v>0.78539816339744828</v>
      </c>
      <c r="X115" s="127">
        <f t="shared" si="26"/>
        <v>0.3490658503988659</v>
      </c>
      <c r="Y115" s="139">
        <v>14.58</v>
      </c>
      <c r="Z115" s="126">
        <v>9.4</v>
      </c>
      <c r="AA115" s="126">
        <f t="shared" si="27"/>
        <v>1.1594244037613981</v>
      </c>
      <c r="AB115" s="126">
        <f t="shared" si="28"/>
        <v>0.48192903970693424</v>
      </c>
      <c r="AC115" s="127">
        <f t="shared" si="29"/>
        <v>0.8037500000000003</v>
      </c>
      <c r="AE115" s="534"/>
      <c r="AF115" s="82">
        <v>12</v>
      </c>
      <c r="AH115"/>
      <c r="AI115"/>
    </row>
    <row r="116" spans="4:35">
      <c r="D116" s="603">
        <v>11</v>
      </c>
      <c r="E116" t="s">
        <v>86</v>
      </c>
      <c r="F116" s="135">
        <v>44.19</v>
      </c>
      <c r="G116" s="136">
        <v>29.61</v>
      </c>
      <c r="H116" s="122">
        <v>12</v>
      </c>
      <c r="I116" s="123">
        <v>6</v>
      </c>
      <c r="J116" s="126">
        <f t="shared" si="36"/>
        <v>0.78539816339744828</v>
      </c>
      <c r="K116" s="127">
        <f t="shared" si="37"/>
        <v>0.19634954084936207</v>
      </c>
      <c r="L116" s="139">
        <v>14.58</v>
      </c>
      <c r="M116" s="126">
        <v>7.05</v>
      </c>
      <c r="N116" s="126">
        <f t="shared" si="33"/>
        <v>1.1594244037613981</v>
      </c>
      <c r="O116" s="126">
        <f t="shared" si="34"/>
        <v>0.27108508483515054</v>
      </c>
      <c r="P116" s="127">
        <f t="shared" si="35"/>
        <v>0.8037500000000003</v>
      </c>
      <c r="Q116" s="108">
        <v>11</v>
      </c>
      <c r="R116" t="s">
        <v>88</v>
      </c>
      <c r="S116" s="135">
        <v>62.27</v>
      </c>
      <c r="T116" s="136">
        <v>47.69</v>
      </c>
      <c r="U116" s="122">
        <v>12</v>
      </c>
      <c r="V116" s="123">
        <v>10</v>
      </c>
      <c r="W116" s="126">
        <f t="shared" si="25"/>
        <v>0.78539816339744828</v>
      </c>
      <c r="X116" s="127">
        <f t="shared" si="26"/>
        <v>0.54541539124822802</v>
      </c>
      <c r="Y116" s="139">
        <v>14.58</v>
      </c>
      <c r="Z116" s="126">
        <v>12</v>
      </c>
      <c r="AA116" s="126">
        <f t="shared" si="27"/>
        <v>1.1594244037613981</v>
      </c>
      <c r="AB116" s="126">
        <f t="shared" si="28"/>
        <v>0.78539816339744828</v>
      </c>
      <c r="AC116" s="127">
        <f t="shared" si="29"/>
        <v>0.8037500000000003</v>
      </c>
      <c r="AE116" s="534"/>
      <c r="AF116" s="82">
        <v>13</v>
      </c>
      <c r="AH116"/>
      <c r="AI116"/>
    </row>
    <row r="117" spans="4:35">
      <c r="D117" s="603">
        <v>12</v>
      </c>
      <c r="E117" t="s">
        <v>87</v>
      </c>
      <c r="F117" s="135">
        <v>43.73</v>
      </c>
      <c r="G117" s="136">
        <v>29.15</v>
      </c>
      <c r="H117" s="122">
        <v>12</v>
      </c>
      <c r="I117" s="123">
        <v>8</v>
      </c>
      <c r="J117" s="126">
        <f t="shared" si="36"/>
        <v>0.78539816339744828</v>
      </c>
      <c r="K117" s="127">
        <f t="shared" si="37"/>
        <v>0.3490658503988659</v>
      </c>
      <c r="L117" s="139">
        <v>14.58</v>
      </c>
      <c r="M117" s="126">
        <v>9.4</v>
      </c>
      <c r="N117" s="126">
        <f t="shared" si="33"/>
        <v>1.1594244037613981</v>
      </c>
      <c r="O117" s="126">
        <f t="shared" si="34"/>
        <v>0.48192903970693424</v>
      </c>
      <c r="P117" s="127">
        <f t="shared" si="35"/>
        <v>0.8037500000000003</v>
      </c>
      <c r="Q117" s="108">
        <v>12</v>
      </c>
      <c r="R117" t="s">
        <v>89</v>
      </c>
      <c r="S117" s="135">
        <v>63.76</v>
      </c>
      <c r="T117" s="136">
        <v>49.18</v>
      </c>
      <c r="U117" s="122">
        <v>12</v>
      </c>
      <c r="V117" s="123">
        <v>12</v>
      </c>
      <c r="W117" s="126">
        <f t="shared" si="25"/>
        <v>0.78539816339744828</v>
      </c>
      <c r="X117" s="127">
        <f t="shared" si="26"/>
        <v>0.78539816339744828</v>
      </c>
      <c r="Y117" s="139">
        <v>14.58</v>
      </c>
      <c r="Z117" s="126">
        <v>14.58</v>
      </c>
      <c r="AA117" s="126">
        <f t="shared" si="27"/>
        <v>1.1594244037613981</v>
      </c>
      <c r="AB117" s="126">
        <f t="shared" si="28"/>
        <v>1.1594244037613981</v>
      </c>
      <c r="AC117" s="127">
        <f t="shared" si="29"/>
        <v>0.8037500000000003</v>
      </c>
      <c r="AE117" s="534"/>
      <c r="AF117" s="82">
        <v>14</v>
      </c>
      <c r="AH117"/>
      <c r="AI117"/>
    </row>
    <row r="118" spans="4:35">
      <c r="D118" s="603">
        <v>13</v>
      </c>
      <c r="E118" t="s">
        <v>88</v>
      </c>
      <c r="F118" s="135">
        <v>43.81</v>
      </c>
      <c r="G118" s="136">
        <v>29.23</v>
      </c>
      <c r="H118" s="122">
        <v>12</v>
      </c>
      <c r="I118" s="123">
        <v>10</v>
      </c>
      <c r="J118" s="126">
        <f t="shared" si="36"/>
        <v>0.78539816339744828</v>
      </c>
      <c r="K118" s="127">
        <f t="shared" si="37"/>
        <v>0.54541539124822802</v>
      </c>
      <c r="L118" s="139">
        <v>14.58</v>
      </c>
      <c r="M118" s="126">
        <v>12</v>
      </c>
      <c r="N118" s="126">
        <f t="shared" si="33"/>
        <v>1.1594244037613981</v>
      </c>
      <c r="O118" s="126">
        <f t="shared" si="34"/>
        <v>0.78539816339744828</v>
      </c>
      <c r="P118" s="127">
        <f t="shared" si="35"/>
        <v>0.8037500000000003</v>
      </c>
      <c r="Q118" s="108">
        <v>13</v>
      </c>
      <c r="R118" t="s">
        <v>90</v>
      </c>
      <c r="S118" s="135">
        <v>65.489999999999995</v>
      </c>
      <c r="T118" s="136">
        <v>47.76</v>
      </c>
      <c r="U118" s="122">
        <v>15</v>
      </c>
      <c r="V118" s="123">
        <v>4</v>
      </c>
      <c r="W118" s="126">
        <f t="shared" si="25"/>
        <v>1.227184630308513</v>
      </c>
      <c r="X118" s="127">
        <f t="shared" si="26"/>
        <v>8.7266462599716474E-2</v>
      </c>
      <c r="Y118" s="139">
        <v>17.73</v>
      </c>
      <c r="Z118" s="126">
        <v>4.75</v>
      </c>
      <c r="AA118" s="126">
        <f t="shared" si="27"/>
        <v>1.7145290994351507</v>
      </c>
      <c r="AB118" s="126">
        <f t="shared" si="28"/>
        <v>0.12305934765038143</v>
      </c>
      <c r="AC118" s="127">
        <f t="shared" si="29"/>
        <v>0.8693749999999999</v>
      </c>
      <c r="AE118" s="534"/>
      <c r="AF118" s="82">
        <v>15</v>
      </c>
      <c r="AH118"/>
      <c r="AI118"/>
    </row>
    <row r="119" spans="4:35">
      <c r="D119" s="603">
        <v>14</v>
      </c>
      <c r="E119" t="s">
        <v>89</v>
      </c>
      <c r="F119" s="135">
        <v>44.09</v>
      </c>
      <c r="G119" s="136">
        <v>29.51</v>
      </c>
      <c r="H119" s="122">
        <v>12</v>
      </c>
      <c r="I119" s="123">
        <v>12</v>
      </c>
      <c r="J119" s="126">
        <f t="shared" si="36"/>
        <v>0.78539816339744828</v>
      </c>
      <c r="K119" s="127">
        <f t="shared" si="37"/>
        <v>0.78539816339744828</v>
      </c>
      <c r="L119" s="139">
        <v>14.58</v>
      </c>
      <c r="M119" s="126">
        <v>14.5</v>
      </c>
      <c r="N119" s="126">
        <f t="shared" si="33"/>
        <v>1.1594244037613981</v>
      </c>
      <c r="O119" s="126">
        <f t="shared" si="34"/>
        <v>1.1467358600993991</v>
      </c>
      <c r="P119" s="127">
        <f t="shared" si="35"/>
        <v>0.8037500000000003</v>
      </c>
      <c r="Q119" s="108">
        <v>14</v>
      </c>
      <c r="R119" t="s">
        <v>91</v>
      </c>
      <c r="S119" s="135">
        <v>66.040000000000006</v>
      </c>
      <c r="T119" s="136">
        <v>48.31</v>
      </c>
      <c r="U119" s="122">
        <v>15</v>
      </c>
      <c r="V119" s="123">
        <v>6</v>
      </c>
      <c r="W119" s="126">
        <f t="shared" si="25"/>
        <v>1.227184630308513</v>
      </c>
      <c r="X119" s="127">
        <f t="shared" si="26"/>
        <v>0.19634954084936207</v>
      </c>
      <c r="Y119" s="139">
        <v>17.73</v>
      </c>
      <c r="Z119" s="126">
        <v>7.05</v>
      </c>
      <c r="AA119" s="126">
        <f t="shared" si="27"/>
        <v>1.7145290994351507</v>
      </c>
      <c r="AB119" s="126">
        <f t="shared" si="28"/>
        <v>0.27108508483515054</v>
      </c>
      <c r="AC119" s="127">
        <f t="shared" si="29"/>
        <v>0.8693749999999999</v>
      </c>
      <c r="AE119" s="534"/>
      <c r="AF119" s="82">
        <v>16</v>
      </c>
      <c r="AH119"/>
      <c r="AI119"/>
    </row>
    <row r="120" spans="4:35">
      <c r="D120" s="603">
        <v>15</v>
      </c>
      <c r="E120" t="s">
        <v>90</v>
      </c>
      <c r="F120" s="135">
        <v>47.17</v>
      </c>
      <c r="G120" s="136">
        <v>29.44</v>
      </c>
      <c r="H120" s="122">
        <v>15</v>
      </c>
      <c r="I120" s="530">
        <v>4</v>
      </c>
      <c r="J120" s="126">
        <f t="shared" si="36"/>
        <v>1.227184630308513</v>
      </c>
      <c r="K120" s="127">
        <f t="shared" si="37"/>
        <v>8.7266462599716474E-2</v>
      </c>
      <c r="L120" s="139">
        <v>17.73</v>
      </c>
      <c r="M120" s="126">
        <v>4.75</v>
      </c>
      <c r="N120" s="126">
        <f t="shared" si="33"/>
        <v>1.7145290994351507</v>
      </c>
      <c r="O120" s="126">
        <f t="shared" si="34"/>
        <v>0.12305934765038143</v>
      </c>
      <c r="P120" s="127">
        <f t="shared" si="35"/>
        <v>0.8693749999999999</v>
      </c>
      <c r="Q120" s="108">
        <v>15</v>
      </c>
      <c r="R120" t="s">
        <v>92</v>
      </c>
      <c r="S120" s="135">
        <v>66.31</v>
      </c>
      <c r="T120" s="136">
        <v>48.58</v>
      </c>
      <c r="U120" s="122">
        <v>15</v>
      </c>
      <c r="V120" s="123">
        <v>8</v>
      </c>
      <c r="W120" s="126">
        <f t="shared" si="25"/>
        <v>1.227184630308513</v>
      </c>
      <c r="X120" s="127">
        <f t="shared" si="26"/>
        <v>0.3490658503988659</v>
      </c>
      <c r="Y120" s="139">
        <v>17.73</v>
      </c>
      <c r="Z120" s="126">
        <v>9.4</v>
      </c>
      <c r="AA120" s="126">
        <f t="shared" si="27"/>
        <v>1.7145290994351507</v>
      </c>
      <c r="AB120" s="126">
        <f t="shared" si="28"/>
        <v>0.48192903970693424</v>
      </c>
      <c r="AC120" s="127">
        <f t="shared" si="29"/>
        <v>0.8693749999999999</v>
      </c>
      <c r="AE120" s="534"/>
      <c r="AF120" s="82">
        <v>17</v>
      </c>
      <c r="AH120"/>
      <c r="AI120"/>
    </row>
    <row r="121" spans="4:35">
      <c r="D121" s="603">
        <v>16</v>
      </c>
      <c r="E121" t="s">
        <v>91</v>
      </c>
      <c r="F121" s="135">
        <v>47.34</v>
      </c>
      <c r="G121" s="136">
        <v>29.61</v>
      </c>
      <c r="H121" s="122">
        <v>15</v>
      </c>
      <c r="I121" s="123">
        <v>6</v>
      </c>
      <c r="J121" s="126">
        <f t="shared" si="36"/>
        <v>1.227184630308513</v>
      </c>
      <c r="K121" s="127">
        <f t="shared" si="37"/>
        <v>0.19634954084936207</v>
      </c>
      <c r="L121" s="139">
        <v>17.73</v>
      </c>
      <c r="M121" s="126">
        <v>7.05</v>
      </c>
      <c r="N121" s="126">
        <f t="shared" si="33"/>
        <v>1.7145290994351507</v>
      </c>
      <c r="O121" s="126">
        <f t="shared" si="34"/>
        <v>0.27108508483515054</v>
      </c>
      <c r="P121" s="127">
        <f t="shared" si="35"/>
        <v>0.8693749999999999</v>
      </c>
      <c r="Q121" s="108">
        <v>16</v>
      </c>
      <c r="R121" t="s">
        <v>93</v>
      </c>
      <c r="S121" s="135">
        <v>65.42</v>
      </c>
      <c r="T121" s="136">
        <v>47.69</v>
      </c>
      <c r="U121" s="122">
        <v>15</v>
      </c>
      <c r="V121" s="123">
        <v>10</v>
      </c>
      <c r="W121" s="126">
        <f t="shared" si="25"/>
        <v>1.227184630308513</v>
      </c>
      <c r="X121" s="127">
        <f t="shared" si="26"/>
        <v>0.54541539124822802</v>
      </c>
      <c r="Y121" s="139">
        <v>17.73</v>
      </c>
      <c r="Z121" s="126">
        <v>12</v>
      </c>
      <c r="AA121" s="126">
        <f t="shared" si="27"/>
        <v>1.7145290994351507</v>
      </c>
      <c r="AB121" s="126">
        <f t="shared" si="28"/>
        <v>0.78539816339744828</v>
      </c>
      <c r="AC121" s="127">
        <f t="shared" si="29"/>
        <v>0.8693749999999999</v>
      </c>
      <c r="AE121" s="534"/>
      <c r="AF121" s="82">
        <v>18</v>
      </c>
      <c r="AH121"/>
      <c r="AI121"/>
    </row>
    <row r="122" spans="4:35">
      <c r="D122" s="603">
        <v>17</v>
      </c>
      <c r="E122" t="s">
        <v>92</v>
      </c>
      <c r="F122" s="135">
        <v>46.88</v>
      </c>
      <c r="G122" s="136">
        <v>29.15</v>
      </c>
      <c r="H122" s="122">
        <v>15</v>
      </c>
      <c r="I122" s="123">
        <v>8</v>
      </c>
      <c r="J122" s="126">
        <f t="shared" si="36"/>
        <v>1.227184630308513</v>
      </c>
      <c r="K122" s="127">
        <f t="shared" si="37"/>
        <v>0.3490658503988659</v>
      </c>
      <c r="L122" s="139">
        <v>17.73</v>
      </c>
      <c r="M122" s="126">
        <v>9.4</v>
      </c>
      <c r="N122" s="126">
        <f t="shared" si="33"/>
        <v>1.7145290994351507</v>
      </c>
      <c r="O122" s="126">
        <f t="shared" si="34"/>
        <v>0.48192903970693424</v>
      </c>
      <c r="P122" s="127">
        <f t="shared" si="35"/>
        <v>0.8693749999999999</v>
      </c>
      <c r="Q122" s="108">
        <v>17</v>
      </c>
      <c r="R122" t="s">
        <v>94</v>
      </c>
      <c r="S122" s="135">
        <v>66.91</v>
      </c>
      <c r="T122" s="136">
        <v>49.18</v>
      </c>
      <c r="U122" s="122">
        <v>15</v>
      </c>
      <c r="V122" s="123">
        <v>12</v>
      </c>
      <c r="W122" s="126">
        <f t="shared" si="25"/>
        <v>1.227184630308513</v>
      </c>
      <c r="X122" s="127">
        <f t="shared" si="26"/>
        <v>0.78539816339744828</v>
      </c>
      <c r="Y122" s="139">
        <v>17.73</v>
      </c>
      <c r="Z122" s="126">
        <v>14.58</v>
      </c>
      <c r="AA122" s="126">
        <f t="shared" si="27"/>
        <v>1.7145290994351507</v>
      </c>
      <c r="AB122" s="126">
        <f t="shared" si="28"/>
        <v>1.1594244037613981</v>
      </c>
      <c r="AC122" s="127">
        <f t="shared" si="29"/>
        <v>0.8693749999999999</v>
      </c>
      <c r="AE122" s="534"/>
      <c r="AF122" s="82">
        <v>19</v>
      </c>
      <c r="AH122"/>
      <c r="AI122"/>
    </row>
    <row r="123" spans="4:35">
      <c r="D123" s="603">
        <v>18</v>
      </c>
      <c r="E123" t="s">
        <v>93</v>
      </c>
      <c r="F123" s="135">
        <v>46.96</v>
      </c>
      <c r="G123" s="136">
        <v>29.23</v>
      </c>
      <c r="H123" s="122">
        <v>15</v>
      </c>
      <c r="I123" s="123">
        <v>10</v>
      </c>
      <c r="J123" s="126">
        <f t="shared" si="36"/>
        <v>1.227184630308513</v>
      </c>
      <c r="K123" s="127">
        <f t="shared" si="37"/>
        <v>0.54541539124822802</v>
      </c>
      <c r="L123" s="139">
        <v>17.73</v>
      </c>
      <c r="M123" s="126">
        <v>12</v>
      </c>
      <c r="N123" s="126">
        <f t="shared" si="33"/>
        <v>1.7145290994351507</v>
      </c>
      <c r="O123" s="126">
        <f t="shared" si="34"/>
        <v>0.78539816339744828</v>
      </c>
      <c r="P123" s="127">
        <f t="shared" si="35"/>
        <v>0.8693749999999999</v>
      </c>
      <c r="Q123" s="108">
        <v>18</v>
      </c>
      <c r="R123" t="s">
        <v>95</v>
      </c>
      <c r="S123" s="135">
        <v>64.180000000000007</v>
      </c>
      <c r="T123" s="136">
        <v>46.45</v>
      </c>
      <c r="U123" s="122">
        <v>15</v>
      </c>
      <c r="V123" s="123">
        <v>15</v>
      </c>
      <c r="W123" s="126">
        <f t="shared" si="25"/>
        <v>1.227184630308513</v>
      </c>
      <c r="X123" s="127">
        <f t="shared" si="26"/>
        <v>1.227184630308513</v>
      </c>
      <c r="Y123" s="139">
        <v>17.73</v>
      </c>
      <c r="Z123" s="126">
        <v>17.73</v>
      </c>
      <c r="AA123" s="126">
        <f t="shared" si="27"/>
        <v>1.7145290994351507</v>
      </c>
      <c r="AB123" s="126">
        <f t="shared" si="28"/>
        <v>1.7145290994351507</v>
      </c>
      <c r="AC123" s="127">
        <f t="shared" si="29"/>
        <v>0.8693749999999999</v>
      </c>
      <c r="AE123" s="534"/>
      <c r="AF123" s="82">
        <v>20</v>
      </c>
      <c r="AH123"/>
      <c r="AI123"/>
    </row>
    <row r="124" spans="4:35">
      <c r="D124" s="603">
        <v>19</v>
      </c>
      <c r="E124" t="s">
        <v>94</v>
      </c>
      <c r="F124" s="135">
        <v>47.24</v>
      </c>
      <c r="G124" s="136">
        <v>29.51</v>
      </c>
      <c r="H124" s="122">
        <v>15</v>
      </c>
      <c r="I124" s="123">
        <v>12</v>
      </c>
      <c r="J124" s="126">
        <f t="shared" si="36"/>
        <v>1.227184630308513</v>
      </c>
      <c r="K124" s="127">
        <f t="shared" si="37"/>
        <v>0.78539816339744828</v>
      </c>
      <c r="L124" s="139">
        <v>17.73</v>
      </c>
      <c r="M124" s="126">
        <v>14.5</v>
      </c>
      <c r="N124" s="126">
        <f t="shared" si="33"/>
        <v>1.7145290994351507</v>
      </c>
      <c r="O124" s="126">
        <f t="shared" si="34"/>
        <v>1.1467358600993991</v>
      </c>
      <c r="P124" s="127">
        <f t="shared" si="35"/>
        <v>0.8693749999999999</v>
      </c>
      <c r="Q124" s="108">
        <v>19</v>
      </c>
      <c r="R124" t="s">
        <v>96</v>
      </c>
      <c r="S124" s="135">
        <v>69.209999999999994</v>
      </c>
      <c r="T124" s="136">
        <v>47.76</v>
      </c>
      <c r="U124" s="122">
        <v>18</v>
      </c>
      <c r="V124" s="123">
        <v>4</v>
      </c>
      <c r="W124" s="126">
        <f t="shared" si="25"/>
        <v>1.7671458676442586</v>
      </c>
      <c r="X124" s="127">
        <f t="shared" si="26"/>
        <v>8.7266462599716474E-2</v>
      </c>
      <c r="Y124" s="139">
        <v>21.45</v>
      </c>
      <c r="Z124" s="126">
        <v>4.75</v>
      </c>
      <c r="AA124" s="126">
        <f t="shared" si="27"/>
        <v>2.5094698505178781</v>
      </c>
      <c r="AB124" s="126">
        <f t="shared" si="28"/>
        <v>0.12305934765038143</v>
      </c>
      <c r="AC124" s="127">
        <f t="shared" si="29"/>
        <v>0.94687499999999991</v>
      </c>
      <c r="AE124" s="534"/>
      <c r="AF124" s="82">
        <v>21</v>
      </c>
      <c r="AH124"/>
      <c r="AI124"/>
    </row>
    <row r="125" spans="4:35">
      <c r="D125" s="603">
        <v>20</v>
      </c>
      <c r="E125" t="s">
        <v>96</v>
      </c>
      <c r="F125" s="135">
        <v>50.89</v>
      </c>
      <c r="G125" s="136">
        <v>29.44</v>
      </c>
      <c r="H125" s="122">
        <v>18</v>
      </c>
      <c r="I125" s="530">
        <v>4</v>
      </c>
      <c r="J125" s="126">
        <f t="shared" si="36"/>
        <v>1.7671458676442586</v>
      </c>
      <c r="K125" s="127">
        <f t="shared" si="37"/>
        <v>8.7266462599716474E-2</v>
      </c>
      <c r="L125" s="139">
        <v>21.45</v>
      </c>
      <c r="M125" s="126">
        <v>4.75</v>
      </c>
      <c r="N125" s="126">
        <f t="shared" si="33"/>
        <v>2.5094698505178781</v>
      </c>
      <c r="O125" s="126">
        <f t="shared" si="34"/>
        <v>0.12305934765038143</v>
      </c>
      <c r="P125" s="127">
        <f t="shared" si="35"/>
        <v>0.94687499999999991</v>
      </c>
      <c r="Q125" s="108">
        <v>20</v>
      </c>
      <c r="R125" t="s">
        <v>97</v>
      </c>
      <c r="S125" s="135">
        <v>69.760000000000005</v>
      </c>
      <c r="T125" s="136">
        <v>48.31</v>
      </c>
      <c r="U125" s="122">
        <v>18</v>
      </c>
      <c r="V125" s="123">
        <v>6</v>
      </c>
      <c r="W125" s="126">
        <f t="shared" si="25"/>
        <v>1.7671458676442586</v>
      </c>
      <c r="X125" s="127">
        <f t="shared" si="26"/>
        <v>0.19634954084936207</v>
      </c>
      <c r="Y125" s="139">
        <v>21.45</v>
      </c>
      <c r="Z125" s="126">
        <v>7.05</v>
      </c>
      <c r="AA125" s="126">
        <f t="shared" si="27"/>
        <v>2.5094698505178781</v>
      </c>
      <c r="AB125" s="126">
        <f t="shared" si="28"/>
        <v>0.27108508483515054</v>
      </c>
      <c r="AC125" s="127">
        <f t="shared" si="29"/>
        <v>0.94687499999999991</v>
      </c>
      <c r="AE125" s="534"/>
      <c r="AF125" s="82">
        <v>22</v>
      </c>
      <c r="AH125"/>
      <c r="AI125"/>
    </row>
    <row r="126" spans="4:35">
      <c r="D126" s="603">
        <v>21</v>
      </c>
      <c r="E126" t="s">
        <v>97</v>
      </c>
      <c r="F126" s="135">
        <v>51.06</v>
      </c>
      <c r="G126" s="136">
        <v>29.61</v>
      </c>
      <c r="H126" s="122">
        <v>18</v>
      </c>
      <c r="I126" s="123">
        <v>6</v>
      </c>
      <c r="J126" s="126">
        <f t="shared" si="36"/>
        <v>1.7671458676442586</v>
      </c>
      <c r="K126" s="127">
        <f t="shared" si="37"/>
        <v>0.19634954084936207</v>
      </c>
      <c r="L126" s="139">
        <v>21.45</v>
      </c>
      <c r="M126" s="126">
        <v>7.05</v>
      </c>
      <c r="N126" s="126">
        <f t="shared" si="33"/>
        <v>2.5094698505178781</v>
      </c>
      <c r="O126" s="126">
        <f t="shared" si="34"/>
        <v>0.27108508483515054</v>
      </c>
      <c r="P126" s="127">
        <f t="shared" si="35"/>
        <v>0.94687499999999991</v>
      </c>
      <c r="Q126" s="108">
        <v>21</v>
      </c>
      <c r="R126" t="s">
        <v>98</v>
      </c>
      <c r="S126" s="135">
        <v>70.03</v>
      </c>
      <c r="T126" s="136">
        <v>48.58</v>
      </c>
      <c r="U126" s="122">
        <v>18</v>
      </c>
      <c r="V126" s="123">
        <v>8</v>
      </c>
      <c r="W126" s="126">
        <f t="shared" si="25"/>
        <v>1.7671458676442586</v>
      </c>
      <c r="X126" s="127">
        <f t="shared" si="26"/>
        <v>0.3490658503988659</v>
      </c>
      <c r="Y126" s="139">
        <v>21.45</v>
      </c>
      <c r="Z126" s="126">
        <v>9.4</v>
      </c>
      <c r="AA126" s="126">
        <f t="shared" si="27"/>
        <v>2.5094698505178781</v>
      </c>
      <c r="AB126" s="126">
        <f t="shared" si="28"/>
        <v>0.48192903970693424</v>
      </c>
      <c r="AC126" s="127">
        <f t="shared" si="29"/>
        <v>0.94687499999999991</v>
      </c>
      <c r="AE126" s="534"/>
      <c r="AF126" s="82">
        <v>23</v>
      </c>
      <c r="AH126"/>
      <c r="AI126"/>
    </row>
    <row r="127" spans="4:35">
      <c r="D127" s="603">
        <v>22</v>
      </c>
      <c r="E127" t="s">
        <v>98</v>
      </c>
      <c r="F127" s="135">
        <v>50.6</v>
      </c>
      <c r="G127" s="136">
        <v>29.15</v>
      </c>
      <c r="H127" s="122">
        <v>18</v>
      </c>
      <c r="I127" s="123">
        <v>8</v>
      </c>
      <c r="J127" s="126">
        <f t="shared" si="36"/>
        <v>1.7671458676442586</v>
      </c>
      <c r="K127" s="127">
        <f t="shared" si="37"/>
        <v>0.3490658503988659</v>
      </c>
      <c r="L127" s="139">
        <v>21.45</v>
      </c>
      <c r="M127" s="126">
        <v>9.4</v>
      </c>
      <c r="N127" s="126">
        <f t="shared" si="33"/>
        <v>2.5094698505178781</v>
      </c>
      <c r="O127" s="126">
        <f t="shared" si="34"/>
        <v>0.48192903970693424</v>
      </c>
      <c r="P127" s="127">
        <f t="shared" si="35"/>
        <v>0.94687499999999991</v>
      </c>
      <c r="Q127" s="108">
        <v>22</v>
      </c>
      <c r="R127" t="s">
        <v>99</v>
      </c>
      <c r="S127" s="135">
        <v>69.14</v>
      </c>
      <c r="T127" s="136">
        <v>47.69</v>
      </c>
      <c r="U127" s="122">
        <v>18</v>
      </c>
      <c r="V127" s="123">
        <v>10</v>
      </c>
      <c r="W127" s="126">
        <f t="shared" si="25"/>
        <v>1.7671458676442586</v>
      </c>
      <c r="X127" s="127">
        <f t="shared" si="26"/>
        <v>0.54541539124822802</v>
      </c>
      <c r="Y127" s="139">
        <v>21.45</v>
      </c>
      <c r="Z127" s="126">
        <v>12</v>
      </c>
      <c r="AA127" s="126">
        <f t="shared" si="27"/>
        <v>2.5094698505178781</v>
      </c>
      <c r="AB127" s="126">
        <f t="shared" si="28"/>
        <v>0.78539816339744828</v>
      </c>
      <c r="AC127" s="127">
        <f t="shared" si="29"/>
        <v>0.94687499999999991</v>
      </c>
      <c r="AE127" s="534"/>
      <c r="AF127" s="82">
        <v>24</v>
      </c>
      <c r="AH127"/>
      <c r="AI127"/>
    </row>
    <row r="128" spans="4:35">
      <c r="D128" s="603">
        <v>23</v>
      </c>
      <c r="E128" t="s">
        <v>99</v>
      </c>
      <c r="F128" s="135">
        <v>50.68</v>
      </c>
      <c r="G128" s="136">
        <v>29.23</v>
      </c>
      <c r="H128" s="122">
        <v>18</v>
      </c>
      <c r="I128" s="123">
        <v>10</v>
      </c>
      <c r="J128" s="126">
        <f t="shared" si="36"/>
        <v>1.7671458676442586</v>
      </c>
      <c r="K128" s="127">
        <f t="shared" si="37"/>
        <v>0.54541539124822802</v>
      </c>
      <c r="L128" s="139">
        <v>21.45</v>
      </c>
      <c r="M128" s="126">
        <v>12</v>
      </c>
      <c r="N128" s="126">
        <f t="shared" si="33"/>
        <v>2.5094698505178781</v>
      </c>
      <c r="O128" s="126">
        <f t="shared" si="34"/>
        <v>0.78539816339744828</v>
      </c>
      <c r="P128" s="127">
        <f t="shared" si="35"/>
        <v>0.94687499999999991</v>
      </c>
      <c r="Q128" s="108">
        <v>23</v>
      </c>
      <c r="R128" t="s">
        <v>100</v>
      </c>
      <c r="S128" s="135">
        <v>70.63</v>
      </c>
      <c r="T128" s="136">
        <v>49.18</v>
      </c>
      <c r="U128" s="122">
        <v>18</v>
      </c>
      <c r="V128" s="123">
        <v>12</v>
      </c>
      <c r="W128" s="126">
        <f t="shared" si="25"/>
        <v>1.7671458676442586</v>
      </c>
      <c r="X128" s="127">
        <f t="shared" si="26"/>
        <v>0.78539816339744828</v>
      </c>
      <c r="Y128" s="139">
        <v>21.45</v>
      </c>
      <c r="Z128" s="126">
        <v>14.58</v>
      </c>
      <c r="AA128" s="126">
        <f t="shared" si="27"/>
        <v>2.5094698505178781</v>
      </c>
      <c r="AB128" s="126">
        <f t="shared" si="28"/>
        <v>1.1594244037613981</v>
      </c>
      <c r="AC128" s="127">
        <f t="shared" si="29"/>
        <v>0.94687499999999991</v>
      </c>
      <c r="AE128" s="534"/>
      <c r="AF128" s="82">
        <v>25</v>
      </c>
      <c r="AH128"/>
      <c r="AI128"/>
    </row>
    <row r="129" spans="4:35">
      <c r="D129" s="603">
        <v>24</v>
      </c>
      <c r="E129" t="s">
        <v>100</v>
      </c>
      <c r="F129" s="135">
        <v>50.96</v>
      </c>
      <c r="G129" s="136">
        <v>29.51</v>
      </c>
      <c r="H129" s="122">
        <v>18</v>
      </c>
      <c r="I129" s="123">
        <v>12</v>
      </c>
      <c r="J129" s="126">
        <f t="shared" si="36"/>
        <v>1.7671458676442586</v>
      </c>
      <c r="K129" s="127">
        <f t="shared" si="37"/>
        <v>0.78539816339744828</v>
      </c>
      <c r="L129" s="139">
        <v>21.45</v>
      </c>
      <c r="M129" s="126">
        <v>14.5</v>
      </c>
      <c r="N129" s="126">
        <f t="shared" si="33"/>
        <v>2.5094698505178781</v>
      </c>
      <c r="O129" s="126">
        <f t="shared" si="34"/>
        <v>1.1467358600993991</v>
      </c>
      <c r="P129" s="127">
        <f t="shared" si="35"/>
        <v>0.94687499999999991</v>
      </c>
      <c r="Q129" s="108">
        <v>24</v>
      </c>
      <c r="R129" t="s">
        <v>101</v>
      </c>
      <c r="S129" s="135">
        <v>67.900000000000006</v>
      </c>
      <c r="T129" s="136">
        <v>46.45</v>
      </c>
      <c r="U129" s="122">
        <v>18</v>
      </c>
      <c r="V129" s="123">
        <v>15</v>
      </c>
      <c r="W129" s="126">
        <f t="shared" si="25"/>
        <v>1.7671458676442586</v>
      </c>
      <c r="X129" s="127">
        <f t="shared" si="26"/>
        <v>1.227184630308513</v>
      </c>
      <c r="Y129" s="139">
        <v>21.45</v>
      </c>
      <c r="Z129" s="126">
        <v>17.73</v>
      </c>
      <c r="AA129" s="126">
        <f t="shared" si="27"/>
        <v>2.5094698505178781</v>
      </c>
      <c r="AB129" s="126">
        <f t="shared" si="28"/>
        <v>1.7145290994351507</v>
      </c>
      <c r="AC129" s="127">
        <f t="shared" si="29"/>
        <v>0.94687499999999991</v>
      </c>
      <c r="AE129" s="534"/>
      <c r="AF129" s="82">
        <v>26</v>
      </c>
      <c r="AH129"/>
      <c r="AI129"/>
    </row>
    <row r="130" spans="4:35">
      <c r="D130" s="603">
        <v>25</v>
      </c>
      <c r="E130" t="s">
        <v>103</v>
      </c>
      <c r="F130" s="135">
        <v>57.64</v>
      </c>
      <c r="G130" s="136">
        <v>29.44</v>
      </c>
      <c r="H130" s="122">
        <v>24</v>
      </c>
      <c r="I130" s="530">
        <v>4</v>
      </c>
      <c r="J130" s="126">
        <f t="shared" si="36"/>
        <v>3.1415926535897931</v>
      </c>
      <c r="K130" s="127">
        <f t="shared" si="37"/>
        <v>8.7266462599716474E-2</v>
      </c>
      <c r="L130" s="139">
        <v>28.2</v>
      </c>
      <c r="M130" s="126">
        <v>4.75</v>
      </c>
      <c r="N130" s="126">
        <f t="shared" si="33"/>
        <v>4.3373613573624086</v>
      </c>
      <c r="O130" s="126">
        <f t="shared" si="34"/>
        <v>0.12305934765038143</v>
      </c>
      <c r="P130" s="127">
        <f t="shared" si="35"/>
        <v>1.0874999999999999</v>
      </c>
      <c r="Q130" s="108">
        <v>25</v>
      </c>
      <c r="R130" t="s">
        <v>102</v>
      </c>
      <c r="S130" s="135">
        <v>71.819999999999993</v>
      </c>
      <c r="T130" s="136">
        <v>50.37</v>
      </c>
      <c r="U130" s="122">
        <v>18</v>
      </c>
      <c r="V130" s="123">
        <v>18</v>
      </c>
      <c r="W130" s="126">
        <f t="shared" si="25"/>
        <v>1.7671458676442586</v>
      </c>
      <c r="X130" s="127">
        <f t="shared" si="26"/>
        <v>1.7671458676442586</v>
      </c>
      <c r="Y130" s="139">
        <v>21.45</v>
      </c>
      <c r="Z130" s="126">
        <v>21.45</v>
      </c>
      <c r="AA130" s="126">
        <f t="shared" si="27"/>
        <v>2.5094698505178781</v>
      </c>
      <c r="AB130" s="126">
        <f t="shared" si="28"/>
        <v>2.5094698505178781</v>
      </c>
      <c r="AC130" s="127">
        <f t="shared" si="29"/>
        <v>0.94687499999999991</v>
      </c>
      <c r="AE130" s="534"/>
      <c r="AF130" s="82">
        <v>27</v>
      </c>
      <c r="AH130"/>
      <c r="AI130"/>
    </row>
    <row r="131" spans="4:35">
      <c r="D131" s="603">
        <v>26</v>
      </c>
      <c r="E131" t="s">
        <v>104</v>
      </c>
      <c r="F131" s="135">
        <v>57.81</v>
      </c>
      <c r="G131" s="136">
        <v>29.61</v>
      </c>
      <c r="H131" s="122">
        <v>24</v>
      </c>
      <c r="I131" s="123">
        <v>6</v>
      </c>
      <c r="J131" s="126">
        <f t="shared" si="36"/>
        <v>3.1415926535897931</v>
      </c>
      <c r="K131" s="127">
        <f t="shared" si="37"/>
        <v>0.19634954084936207</v>
      </c>
      <c r="L131" s="139">
        <v>28.2</v>
      </c>
      <c r="M131" s="126">
        <v>7.05</v>
      </c>
      <c r="N131" s="126">
        <f t="shared" si="33"/>
        <v>4.3373613573624086</v>
      </c>
      <c r="O131" s="126">
        <f t="shared" si="34"/>
        <v>0.27108508483515054</v>
      </c>
      <c r="P131" s="127">
        <f t="shared" si="35"/>
        <v>1.0874999999999999</v>
      </c>
      <c r="Q131" s="108">
        <v>26</v>
      </c>
      <c r="R131" t="s">
        <v>103</v>
      </c>
      <c r="S131" s="135">
        <v>75.959999999999994</v>
      </c>
      <c r="T131" s="136">
        <v>47.76</v>
      </c>
      <c r="U131" s="122">
        <v>24</v>
      </c>
      <c r="V131" s="123">
        <v>4</v>
      </c>
      <c r="W131" s="126">
        <f t="shared" si="25"/>
        <v>3.1415926535897931</v>
      </c>
      <c r="X131" s="127">
        <f t="shared" si="26"/>
        <v>8.7266462599716474E-2</v>
      </c>
      <c r="Y131" s="139">
        <v>28.2</v>
      </c>
      <c r="Z131" s="126">
        <v>4.75</v>
      </c>
      <c r="AA131" s="126">
        <f t="shared" si="27"/>
        <v>4.3373613573624086</v>
      </c>
      <c r="AB131" s="126">
        <f t="shared" si="28"/>
        <v>0.12305934765038143</v>
      </c>
      <c r="AC131" s="127">
        <f t="shared" si="29"/>
        <v>1.0874999999999999</v>
      </c>
      <c r="AE131" s="534"/>
      <c r="AF131" s="82">
        <v>28</v>
      </c>
      <c r="AH131"/>
      <c r="AI131"/>
    </row>
    <row r="132" spans="4:35">
      <c r="D132" s="603">
        <v>27</v>
      </c>
      <c r="E132" t="s">
        <v>105</v>
      </c>
      <c r="F132" s="135">
        <v>57.35</v>
      </c>
      <c r="G132" s="136">
        <v>29.15</v>
      </c>
      <c r="H132" s="122">
        <v>24</v>
      </c>
      <c r="I132" s="123">
        <v>8</v>
      </c>
      <c r="J132" s="126">
        <f t="shared" si="36"/>
        <v>3.1415926535897931</v>
      </c>
      <c r="K132" s="127">
        <f t="shared" si="37"/>
        <v>0.3490658503988659</v>
      </c>
      <c r="L132" s="139">
        <v>28.2</v>
      </c>
      <c r="M132" s="126">
        <v>9.4</v>
      </c>
      <c r="N132" s="126">
        <f t="shared" si="33"/>
        <v>4.3373613573624086</v>
      </c>
      <c r="O132" s="126">
        <f t="shared" si="34"/>
        <v>0.48192903970693424</v>
      </c>
      <c r="P132" s="127">
        <f t="shared" si="35"/>
        <v>1.0874999999999999</v>
      </c>
      <c r="Q132" s="108">
        <v>27</v>
      </c>
      <c r="R132" t="s">
        <v>104</v>
      </c>
      <c r="S132" s="135">
        <v>76.510000000000005</v>
      </c>
      <c r="T132" s="136">
        <v>48.31</v>
      </c>
      <c r="U132" s="122">
        <v>24</v>
      </c>
      <c r="V132" s="123">
        <v>6</v>
      </c>
      <c r="W132" s="126">
        <f t="shared" si="25"/>
        <v>3.1415926535897931</v>
      </c>
      <c r="X132" s="127">
        <f t="shared" si="26"/>
        <v>0.19634954084936207</v>
      </c>
      <c r="Y132" s="139">
        <v>28.2</v>
      </c>
      <c r="Z132" s="126">
        <v>7.05</v>
      </c>
      <c r="AA132" s="126">
        <f t="shared" si="27"/>
        <v>4.3373613573624086</v>
      </c>
      <c r="AB132" s="126">
        <f t="shared" si="28"/>
        <v>0.27108508483515054</v>
      </c>
      <c r="AC132" s="127">
        <f t="shared" si="29"/>
        <v>1.0874999999999999</v>
      </c>
      <c r="AE132" s="534"/>
      <c r="AF132" s="82">
        <v>29</v>
      </c>
      <c r="AH132"/>
      <c r="AI132"/>
    </row>
    <row r="133" spans="4:35">
      <c r="D133" s="603">
        <v>28</v>
      </c>
      <c r="E133" t="s">
        <v>106</v>
      </c>
      <c r="F133" s="135">
        <v>57.43</v>
      </c>
      <c r="G133" s="136">
        <v>29.23</v>
      </c>
      <c r="H133" s="122">
        <v>24</v>
      </c>
      <c r="I133" s="123">
        <v>10</v>
      </c>
      <c r="J133" s="126">
        <f t="shared" si="36"/>
        <v>3.1415926535897931</v>
      </c>
      <c r="K133" s="127">
        <f t="shared" si="37"/>
        <v>0.54541539124822802</v>
      </c>
      <c r="L133" s="139">
        <v>28.2</v>
      </c>
      <c r="M133" s="126">
        <v>12</v>
      </c>
      <c r="N133" s="126">
        <f t="shared" si="33"/>
        <v>4.3373613573624086</v>
      </c>
      <c r="O133" s="126">
        <f t="shared" si="34"/>
        <v>0.78539816339744828</v>
      </c>
      <c r="P133" s="127">
        <f t="shared" si="35"/>
        <v>1.0874999999999999</v>
      </c>
      <c r="Q133" s="108">
        <v>28</v>
      </c>
      <c r="R133" t="s">
        <v>105</v>
      </c>
      <c r="S133" s="135">
        <v>76.78</v>
      </c>
      <c r="T133" s="136">
        <v>48.58</v>
      </c>
      <c r="U133" s="122">
        <v>24</v>
      </c>
      <c r="V133" s="123">
        <v>8</v>
      </c>
      <c r="W133" s="126">
        <f t="shared" si="25"/>
        <v>3.1415926535897931</v>
      </c>
      <c r="X133" s="127">
        <f t="shared" si="26"/>
        <v>0.3490658503988659</v>
      </c>
      <c r="Y133" s="139">
        <v>28.2</v>
      </c>
      <c r="Z133" s="126">
        <v>9.4</v>
      </c>
      <c r="AA133" s="126">
        <f t="shared" si="27"/>
        <v>4.3373613573624086</v>
      </c>
      <c r="AB133" s="126">
        <f t="shared" si="28"/>
        <v>0.48192903970693424</v>
      </c>
      <c r="AC133" s="127">
        <f t="shared" si="29"/>
        <v>1.0874999999999999</v>
      </c>
      <c r="AE133" s="534"/>
    </row>
    <row r="134" spans="4:35" ht="15.75" thickBot="1">
      <c r="D134" s="603">
        <v>29</v>
      </c>
      <c r="E134" t="s">
        <v>107</v>
      </c>
      <c r="F134" s="137">
        <v>57.71</v>
      </c>
      <c r="G134" s="138">
        <v>29.51</v>
      </c>
      <c r="H134" s="128">
        <v>24</v>
      </c>
      <c r="I134" s="129">
        <v>12</v>
      </c>
      <c r="J134" s="130">
        <f t="shared" si="36"/>
        <v>3.1415926535897931</v>
      </c>
      <c r="K134" s="131">
        <f t="shared" si="37"/>
        <v>0.78539816339744828</v>
      </c>
      <c r="L134" s="140">
        <v>28.2</v>
      </c>
      <c r="M134" s="130">
        <v>14.5</v>
      </c>
      <c r="N134" s="130">
        <f t="shared" si="33"/>
        <v>4.3373613573624086</v>
      </c>
      <c r="O134" s="130">
        <f t="shared" si="34"/>
        <v>1.1467358600993991</v>
      </c>
      <c r="P134" s="131">
        <f t="shared" si="35"/>
        <v>1.0874999999999999</v>
      </c>
      <c r="Q134" s="108">
        <v>29</v>
      </c>
      <c r="R134" t="s">
        <v>106</v>
      </c>
      <c r="S134" s="135">
        <v>75.89</v>
      </c>
      <c r="T134" s="136">
        <v>47.69</v>
      </c>
      <c r="U134" s="122">
        <v>24</v>
      </c>
      <c r="V134" s="123">
        <v>10</v>
      </c>
      <c r="W134" s="126">
        <f t="shared" si="25"/>
        <v>3.1415926535897931</v>
      </c>
      <c r="X134" s="127">
        <f t="shared" si="26"/>
        <v>0.54541539124822802</v>
      </c>
      <c r="Y134" s="139">
        <v>28.2</v>
      </c>
      <c r="Z134" s="126">
        <v>12</v>
      </c>
      <c r="AA134" s="126">
        <f t="shared" si="27"/>
        <v>4.3373613573624086</v>
      </c>
      <c r="AB134" s="126">
        <f t="shared" si="28"/>
        <v>0.78539816339744828</v>
      </c>
      <c r="AC134" s="127">
        <f t="shared" si="29"/>
        <v>1.0874999999999999</v>
      </c>
      <c r="AE134"/>
    </row>
    <row r="135" spans="4:35">
      <c r="D135" s="107"/>
      <c r="E135"/>
      <c r="F135"/>
      <c r="G135"/>
      <c r="Q135" s="108">
        <v>30</v>
      </c>
      <c r="R135" t="s">
        <v>107</v>
      </c>
      <c r="S135" s="135">
        <v>77.38</v>
      </c>
      <c r="T135" s="136">
        <v>49.18</v>
      </c>
      <c r="U135" s="122">
        <v>24</v>
      </c>
      <c r="V135" s="123">
        <v>12</v>
      </c>
      <c r="W135" s="126">
        <f t="shared" si="25"/>
        <v>3.1415926535897931</v>
      </c>
      <c r="X135" s="127">
        <f t="shared" si="26"/>
        <v>0.78539816339744828</v>
      </c>
      <c r="Y135" s="139">
        <v>28.2</v>
      </c>
      <c r="Z135" s="126">
        <v>14.58</v>
      </c>
      <c r="AA135" s="126">
        <f t="shared" si="27"/>
        <v>4.3373613573624086</v>
      </c>
      <c r="AB135" s="126">
        <f t="shared" si="28"/>
        <v>1.1594244037613981</v>
      </c>
      <c r="AC135" s="127">
        <f t="shared" si="29"/>
        <v>1.0874999999999999</v>
      </c>
      <c r="AE135"/>
    </row>
    <row r="136" spans="4:35">
      <c r="D136" s="107"/>
      <c r="E136"/>
      <c r="F136"/>
      <c r="G136"/>
      <c r="Q136" s="108">
        <v>31</v>
      </c>
      <c r="R136" t="s">
        <v>108</v>
      </c>
      <c r="S136" s="135">
        <v>74.650000000000006</v>
      </c>
      <c r="T136" s="136">
        <v>46.45</v>
      </c>
      <c r="U136" s="122">
        <v>24</v>
      </c>
      <c r="V136" s="123">
        <v>15</v>
      </c>
      <c r="W136" s="126">
        <f t="shared" si="25"/>
        <v>3.1415926535897931</v>
      </c>
      <c r="X136" s="127">
        <f t="shared" si="26"/>
        <v>1.227184630308513</v>
      </c>
      <c r="Y136" s="139">
        <v>28.2</v>
      </c>
      <c r="Z136" s="126">
        <v>17.73</v>
      </c>
      <c r="AA136" s="126">
        <f t="shared" si="27"/>
        <v>4.3373613573624086</v>
      </c>
      <c r="AB136" s="126">
        <f t="shared" si="28"/>
        <v>1.7145290994351507</v>
      </c>
      <c r="AC136" s="127">
        <f t="shared" si="29"/>
        <v>1.0874999999999999</v>
      </c>
      <c r="AE136"/>
    </row>
    <row r="137" spans="4:35">
      <c r="D137" s="107"/>
      <c r="E137"/>
      <c r="F137"/>
      <c r="G137"/>
      <c r="Q137" s="108">
        <v>32</v>
      </c>
      <c r="R137" t="s">
        <v>109</v>
      </c>
      <c r="S137" s="135">
        <v>78.569999999999993</v>
      </c>
      <c r="T137" s="136">
        <v>50.37</v>
      </c>
      <c r="U137" s="122">
        <v>24</v>
      </c>
      <c r="V137" s="123">
        <v>18</v>
      </c>
      <c r="W137" s="126">
        <f t="shared" si="25"/>
        <v>3.1415926535897931</v>
      </c>
      <c r="X137" s="127">
        <f t="shared" si="26"/>
        <v>1.7671458676442586</v>
      </c>
      <c r="Y137" s="139">
        <v>28.2</v>
      </c>
      <c r="Z137" s="126">
        <v>21.45</v>
      </c>
      <c r="AA137" s="126">
        <f t="shared" si="27"/>
        <v>4.3373613573624086</v>
      </c>
      <c r="AB137" s="126">
        <f t="shared" si="28"/>
        <v>2.5094698505178781</v>
      </c>
      <c r="AC137" s="127">
        <f t="shared" si="29"/>
        <v>1.0874999999999999</v>
      </c>
      <c r="AE137"/>
    </row>
    <row r="138" spans="4:35">
      <c r="D138" s="107"/>
      <c r="E138"/>
      <c r="F138"/>
      <c r="G138"/>
      <c r="Q138" s="108">
        <v>33</v>
      </c>
      <c r="R138" t="s">
        <v>138</v>
      </c>
      <c r="S138" s="135">
        <v>79.349999999999994</v>
      </c>
      <c r="T138" s="136">
        <v>51.15</v>
      </c>
      <c r="U138" s="122">
        <v>24</v>
      </c>
      <c r="V138" s="123">
        <v>24</v>
      </c>
      <c r="W138" s="126">
        <f t="shared" si="25"/>
        <v>3.1415926535897931</v>
      </c>
      <c r="X138" s="127">
        <f t="shared" si="26"/>
        <v>3.1415926535897931</v>
      </c>
      <c r="Y138" s="139">
        <v>28.2</v>
      </c>
      <c r="Z138" s="126">
        <v>28.2</v>
      </c>
      <c r="AA138" s="126">
        <f t="shared" si="27"/>
        <v>4.3373613573624086</v>
      </c>
      <c r="AB138" s="126">
        <f t="shared" si="28"/>
        <v>4.3373613573624086</v>
      </c>
      <c r="AC138" s="127">
        <f t="shared" si="29"/>
        <v>1.0874999999999999</v>
      </c>
      <c r="AE138"/>
    </row>
    <row r="139" spans="4:35">
      <c r="D139" s="107"/>
      <c r="E139"/>
      <c r="F139"/>
      <c r="G139"/>
      <c r="Q139" s="108">
        <v>34</v>
      </c>
      <c r="R139" t="s">
        <v>110</v>
      </c>
      <c r="S139" s="135">
        <v>82.65</v>
      </c>
      <c r="T139" s="136">
        <v>47.76</v>
      </c>
      <c r="U139" s="122">
        <v>30</v>
      </c>
      <c r="V139" s="123">
        <v>4</v>
      </c>
      <c r="W139" s="126">
        <f t="shared" si="25"/>
        <v>4.908738521234052</v>
      </c>
      <c r="X139" s="127">
        <f t="shared" si="26"/>
        <v>8.7266462599716474E-2</v>
      </c>
      <c r="Y139" s="139">
        <v>34.89</v>
      </c>
      <c r="Z139" s="126">
        <v>4.75</v>
      </c>
      <c r="AA139" s="126">
        <f t="shared" si="27"/>
        <v>6.6394075529270218</v>
      </c>
      <c r="AB139" s="126">
        <f t="shared" si="28"/>
        <v>0.12305934765038143</v>
      </c>
      <c r="AC139" s="127">
        <f t="shared" si="29"/>
        <v>1.2268750000000004</v>
      </c>
      <c r="AE139"/>
    </row>
    <row r="140" spans="4:35">
      <c r="D140" s="107"/>
      <c r="E140"/>
      <c r="F140"/>
      <c r="G140"/>
      <c r="Q140" s="108">
        <v>35</v>
      </c>
      <c r="R140" t="s">
        <v>111</v>
      </c>
      <c r="S140" s="135">
        <v>83.2</v>
      </c>
      <c r="T140" s="136">
        <v>48.31</v>
      </c>
      <c r="U140" s="122">
        <v>30</v>
      </c>
      <c r="V140" s="123">
        <v>6</v>
      </c>
      <c r="W140" s="126">
        <f t="shared" si="25"/>
        <v>4.908738521234052</v>
      </c>
      <c r="X140" s="127">
        <f t="shared" si="26"/>
        <v>0.19634954084936207</v>
      </c>
      <c r="Y140" s="139">
        <v>34.89</v>
      </c>
      <c r="Z140" s="126">
        <v>7.05</v>
      </c>
      <c r="AA140" s="126">
        <f t="shared" si="27"/>
        <v>6.6394075529270218</v>
      </c>
      <c r="AB140" s="126">
        <f t="shared" si="28"/>
        <v>0.27108508483515054</v>
      </c>
      <c r="AC140" s="127">
        <f t="shared" si="29"/>
        <v>1.2268750000000004</v>
      </c>
      <c r="AE140"/>
    </row>
    <row r="141" spans="4:35">
      <c r="D141" s="107"/>
      <c r="E141"/>
      <c r="F141"/>
      <c r="G141"/>
      <c r="Q141" s="108">
        <v>36</v>
      </c>
      <c r="R141" t="s">
        <v>112</v>
      </c>
      <c r="S141" s="135">
        <v>83.47</v>
      </c>
      <c r="T141" s="136">
        <v>48.58</v>
      </c>
      <c r="U141" s="122">
        <v>30</v>
      </c>
      <c r="V141" s="123">
        <v>8</v>
      </c>
      <c r="W141" s="126">
        <f t="shared" si="25"/>
        <v>4.908738521234052</v>
      </c>
      <c r="X141" s="127">
        <f t="shared" si="26"/>
        <v>0.3490658503988659</v>
      </c>
      <c r="Y141" s="139">
        <v>34.89</v>
      </c>
      <c r="Z141" s="126">
        <v>9.4</v>
      </c>
      <c r="AA141" s="126">
        <f t="shared" si="27"/>
        <v>6.6394075529270218</v>
      </c>
      <c r="AB141" s="126">
        <f t="shared" si="28"/>
        <v>0.48192903970693424</v>
      </c>
      <c r="AC141" s="127">
        <f t="shared" si="29"/>
        <v>1.2268750000000004</v>
      </c>
      <c r="AE141"/>
    </row>
    <row r="142" spans="4:35">
      <c r="D142" s="107"/>
      <c r="E142"/>
      <c r="F142"/>
      <c r="G142"/>
      <c r="Q142" s="108">
        <v>37</v>
      </c>
      <c r="R142" t="s">
        <v>113</v>
      </c>
      <c r="S142" s="135">
        <v>82.58</v>
      </c>
      <c r="T142" s="136">
        <v>47.69</v>
      </c>
      <c r="U142" s="122">
        <v>30</v>
      </c>
      <c r="V142" s="123">
        <v>10</v>
      </c>
      <c r="W142" s="126">
        <f t="shared" si="25"/>
        <v>4.908738521234052</v>
      </c>
      <c r="X142" s="127">
        <f t="shared" si="26"/>
        <v>0.54541539124822802</v>
      </c>
      <c r="Y142" s="139">
        <v>34.89</v>
      </c>
      <c r="Z142" s="126">
        <v>12</v>
      </c>
      <c r="AA142" s="126">
        <f t="shared" si="27"/>
        <v>6.6394075529270218</v>
      </c>
      <c r="AB142" s="126">
        <f t="shared" si="28"/>
        <v>0.78539816339744828</v>
      </c>
      <c r="AC142" s="127">
        <f t="shared" si="29"/>
        <v>1.2268750000000004</v>
      </c>
      <c r="AE142"/>
    </row>
    <row r="143" spans="4:35">
      <c r="D143" s="107"/>
      <c r="E143"/>
      <c r="F143"/>
      <c r="G143"/>
      <c r="Q143" s="108">
        <v>38</v>
      </c>
      <c r="R143" t="s">
        <v>114</v>
      </c>
      <c r="S143" s="135">
        <v>84.07</v>
      </c>
      <c r="T143" s="136">
        <v>49.18</v>
      </c>
      <c r="U143" s="122">
        <v>30</v>
      </c>
      <c r="V143" s="123">
        <v>12</v>
      </c>
      <c r="W143" s="126">
        <f t="shared" si="25"/>
        <v>4.908738521234052</v>
      </c>
      <c r="X143" s="127">
        <f t="shared" si="26"/>
        <v>0.78539816339744828</v>
      </c>
      <c r="Y143" s="139">
        <v>34.89</v>
      </c>
      <c r="Z143" s="126">
        <v>14.58</v>
      </c>
      <c r="AA143" s="126">
        <f t="shared" si="27"/>
        <v>6.6394075529270218</v>
      </c>
      <c r="AB143" s="126">
        <f t="shared" si="28"/>
        <v>1.1594244037613981</v>
      </c>
      <c r="AC143" s="127">
        <f t="shared" si="29"/>
        <v>1.2268750000000004</v>
      </c>
      <c r="AE143"/>
    </row>
    <row r="144" spans="4:35">
      <c r="D144" s="107"/>
      <c r="E144"/>
      <c r="F144"/>
      <c r="G144"/>
      <c r="Q144" s="108">
        <v>39</v>
      </c>
      <c r="R144" t="s">
        <v>115</v>
      </c>
      <c r="S144" s="135">
        <v>81.34</v>
      </c>
      <c r="T144" s="136">
        <v>46.45</v>
      </c>
      <c r="U144" s="122">
        <v>30</v>
      </c>
      <c r="V144" s="123">
        <v>15</v>
      </c>
      <c r="W144" s="126">
        <f t="shared" si="25"/>
        <v>4.908738521234052</v>
      </c>
      <c r="X144" s="127">
        <f t="shared" si="26"/>
        <v>1.227184630308513</v>
      </c>
      <c r="Y144" s="139">
        <v>34.89</v>
      </c>
      <c r="Z144" s="126">
        <v>17.73</v>
      </c>
      <c r="AA144" s="126">
        <f t="shared" si="27"/>
        <v>6.6394075529270218</v>
      </c>
      <c r="AB144" s="126">
        <f t="shared" si="28"/>
        <v>1.7145290994351507</v>
      </c>
      <c r="AC144" s="127">
        <f t="shared" si="29"/>
        <v>1.2268750000000004</v>
      </c>
      <c r="AE144"/>
    </row>
    <row r="145" spans="4:31">
      <c r="D145" s="107"/>
      <c r="E145"/>
      <c r="F145"/>
      <c r="G145"/>
      <c r="Q145" s="108">
        <v>40</v>
      </c>
      <c r="R145" t="s">
        <v>116</v>
      </c>
      <c r="S145" s="135">
        <v>85.26</v>
      </c>
      <c r="T145" s="136">
        <v>50.37</v>
      </c>
      <c r="U145" s="122">
        <v>30</v>
      </c>
      <c r="V145" s="123">
        <v>18</v>
      </c>
      <c r="W145" s="126">
        <f t="shared" si="25"/>
        <v>4.908738521234052</v>
      </c>
      <c r="X145" s="127">
        <f t="shared" si="26"/>
        <v>1.7671458676442586</v>
      </c>
      <c r="Y145" s="139">
        <v>34.89</v>
      </c>
      <c r="Z145" s="126">
        <v>21.45</v>
      </c>
      <c r="AA145" s="126">
        <f t="shared" si="27"/>
        <v>6.6394075529270218</v>
      </c>
      <c r="AB145" s="126">
        <f t="shared" si="28"/>
        <v>2.5094698505178781</v>
      </c>
      <c r="AC145" s="127">
        <f t="shared" si="29"/>
        <v>1.2268750000000004</v>
      </c>
      <c r="AE145"/>
    </row>
    <row r="146" spans="4:31">
      <c r="D146" s="107"/>
      <c r="E146"/>
      <c r="F146"/>
      <c r="G146"/>
      <c r="Q146" s="108">
        <v>41</v>
      </c>
      <c r="R146" t="s">
        <v>139</v>
      </c>
      <c r="S146" s="135">
        <v>86.04</v>
      </c>
      <c r="T146" s="136">
        <v>51.15</v>
      </c>
      <c r="U146" s="122">
        <v>30</v>
      </c>
      <c r="V146" s="123">
        <v>24</v>
      </c>
      <c r="W146" s="126">
        <f t="shared" si="25"/>
        <v>4.908738521234052</v>
      </c>
      <c r="X146" s="127">
        <f t="shared" si="26"/>
        <v>3.1415926535897931</v>
      </c>
      <c r="Y146" s="139">
        <v>34.89</v>
      </c>
      <c r="Z146" s="126">
        <v>28.2</v>
      </c>
      <c r="AA146" s="126">
        <f t="shared" si="27"/>
        <v>6.6394075529270218</v>
      </c>
      <c r="AB146" s="126">
        <f t="shared" si="28"/>
        <v>4.3373613573624086</v>
      </c>
      <c r="AC146" s="127">
        <f t="shared" si="29"/>
        <v>1.2268750000000004</v>
      </c>
      <c r="AE146"/>
    </row>
    <row r="147" spans="4:31">
      <c r="D147" s="107"/>
      <c r="E147"/>
      <c r="F147"/>
      <c r="G147"/>
      <c r="Q147" s="108">
        <v>42</v>
      </c>
      <c r="R147" t="s">
        <v>140</v>
      </c>
      <c r="S147" s="135">
        <v>82.89</v>
      </c>
      <c r="T147" s="136">
        <v>48</v>
      </c>
      <c r="U147" s="122">
        <v>30</v>
      </c>
      <c r="V147" s="123">
        <v>30</v>
      </c>
      <c r="W147" s="126">
        <f t="shared" si="25"/>
        <v>4.908738521234052</v>
      </c>
      <c r="X147" s="127">
        <f t="shared" si="26"/>
        <v>4.908738521234052</v>
      </c>
      <c r="Y147" s="139">
        <v>34.89</v>
      </c>
      <c r="Z147" s="126">
        <v>34.89</v>
      </c>
      <c r="AA147" s="126">
        <f t="shared" si="27"/>
        <v>6.6394075529270218</v>
      </c>
      <c r="AB147" s="126">
        <f t="shared" si="28"/>
        <v>6.6394075529270218</v>
      </c>
      <c r="AC147" s="127">
        <f t="shared" si="29"/>
        <v>1.2268750000000004</v>
      </c>
      <c r="AE147"/>
    </row>
    <row r="148" spans="4:31">
      <c r="D148" s="107"/>
      <c r="E148"/>
      <c r="F148"/>
      <c r="G148"/>
      <c r="Q148" s="108">
        <v>43</v>
      </c>
      <c r="R148" t="s">
        <v>117</v>
      </c>
      <c r="S148" s="135">
        <v>88.66</v>
      </c>
      <c r="T148" s="136">
        <v>47.76</v>
      </c>
      <c r="U148" s="122">
        <v>36</v>
      </c>
      <c r="V148" s="123">
        <v>4</v>
      </c>
      <c r="W148" s="126">
        <f t="shared" si="25"/>
        <v>7.0685834705770345</v>
      </c>
      <c r="X148" s="127">
        <f t="shared" si="26"/>
        <v>8.7266462599716474E-2</v>
      </c>
      <c r="Y148" s="139">
        <v>40.9</v>
      </c>
      <c r="Z148" s="126">
        <v>4.75</v>
      </c>
      <c r="AA148" s="126">
        <f t="shared" si="27"/>
        <v>9.1237632063394827</v>
      </c>
      <c r="AB148" s="126">
        <f t="shared" si="28"/>
        <v>0.12305934765038143</v>
      </c>
      <c r="AC148" s="127">
        <f t="shared" si="29"/>
        <v>1.3520833333333331</v>
      </c>
      <c r="AE148"/>
    </row>
    <row r="149" spans="4:31">
      <c r="D149" s="107"/>
      <c r="E149"/>
      <c r="F149"/>
      <c r="G149"/>
      <c r="Q149" s="108">
        <v>44</v>
      </c>
      <c r="R149" t="s">
        <v>118</v>
      </c>
      <c r="S149" s="135">
        <v>89.21</v>
      </c>
      <c r="T149" s="136">
        <v>48.31</v>
      </c>
      <c r="U149" s="122">
        <v>36</v>
      </c>
      <c r="V149" s="123">
        <v>6</v>
      </c>
      <c r="W149" s="126">
        <f t="shared" si="25"/>
        <v>7.0685834705770345</v>
      </c>
      <c r="X149" s="127">
        <f t="shared" si="26"/>
        <v>0.19634954084936207</v>
      </c>
      <c r="Y149" s="139">
        <v>40.9</v>
      </c>
      <c r="Z149" s="126">
        <v>7.05</v>
      </c>
      <c r="AA149" s="126">
        <f t="shared" si="27"/>
        <v>9.1237632063394827</v>
      </c>
      <c r="AB149" s="126">
        <f t="shared" si="28"/>
        <v>0.27108508483515054</v>
      </c>
      <c r="AC149" s="127">
        <f t="shared" si="29"/>
        <v>1.3520833333333331</v>
      </c>
      <c r="AE149"/>
    </row>
    <row r="150" spans="4:31">
      <c r="D150" s="107"/>
      <c r="E150"/>
      <c r="F150"/>
      <c r="G150"/>
      <c r="Q150" s="108">
        <v>45</v>
      </c>
      <c r="R150" t="s">
        <v>119</v>
      </c>
      <c r="S150" s="135">
        <v>89.48</v>
      </c>
      <c r="T150" s="136">
        <v>48.58</v>
      </c>
      <c r="U150" s="122">
        <v>36</v>
      </c>
      <c r="V150" s="123">
        <v>8</v>
      </c>
      <c r="W150" s="126">
        <f t="shared" si="25"/>
        <v>7.0685834705770345</v>
      </c>
      <c r="X150" s="127">
        <f t="shared" si="26"/>
        <v>0.3490658503988659</v>
      </c>
      <c r="Y150" s="139">
        <v>40.9</v>
      </c>
      <c r="Z150" s="126">
        <v>9.4</v>
      </c>
      <c r="AA150" s="126">
        <f t="shared" si="27"/>
        <v>9.1237632063394827</v>
      </c>
      <c r="AB150" s="126">
        <f t="shared" si="28"/>
        <v>0.48192903970693424</v>
      </c>
      <c r="AC150" s="127">
        <f t="shared" si="29"/>
        <v>1.3520833333333331</v>
      </c>
      <c r="AE150"/>
    </row>
    <row r="151" spans="4:31">
      <c r="D151" s="107"/>
      <c r="E151"/>
      <c r="F151"/>
      <c r="G151"/>
      <c r="Q151" s="108">
        <v>46</v>
      </c>
      <c r="R151" t="s">
        <v>120</v>
      </c>
      <c r="S151" s="135">
        <v>88.59</v>
      </c>
      <c r="T151" s="136">
        <v>47.69</v>
      </c>
      <c r="U151" s="122">
        <v>36</v>
      </c>
      <c r="V151" s="123">
        <v>10</v>
      </c>
      <c r="W151" s="126">
        <f t="shared" si="25"/>
        <v>7.0685834705770345</v>
      </c>
      <c r="X151" s="127">
        <f t="shared" si="26"/>
        <v>0.54541539124822802</v>
      </c>
      <c r="Y151" s="139">
        <v>40.9</v>
      </c>
      <c r="Z151" s="126">
        <v>12</v>
      </c>
      <c r="AA151" s="126">
        <f t="shared" si="27"/>
        <v>9.1237632063394827</v>
      </c>
      <c r="AB151" s="126">
        <f t="shared" si="28"/>
        <v>0.78539816339744828</v>
      </c>
      <c r="AC151" s="127">
        <f t="shared" si="29"/>
        <v>1.3520833333333331</v>
      </c>
      <c r="AE151"/>
    </row>
    <row r="152" spans="4:31">
      <c r="D152" s="107"/>
      <c r="E152"/>
      <c r="F152"/>
      <c r="G152"/>
      <c r="Q152" s="108">
        <v>47</v>
      </c>
      <c r="R152" t="s">
        <v>121</v>
      </c>
      <c r="S152" s="135">
        <v>90.08</v>
      </c>
      <c r="T152" s="136">
        <v>49.18</v>
      </c>
      <c r="U152" s="122">
        <v>36</v>
      </c>
      <c r="V152" s="123">
        <v>12</v>
      </c>
      <c r="W152" s="126">
        <f t="shared" si="25"/>
        <v>7.0685834705770345</v>
      </c>
      <c r="X152" s="127">
        <f t="shared" si="26"/>
        <v>0.78539816339744828</v>
      </c>
      <c r="Y152" s="139">
        <v>40.9</v>
      </c>
      <c r="Z152" s="126">
        <v>14.58</v>
      </c>
      <c r="AA152" s="126">
        <f t="shared" si="27"/>
        <v>9.1237632063394827</v>
      </c>
      <c r="AB152" s="126">
        <f t="shared" si="28"/>
        <v>1.1594244037613981</v>
      </c>
      <c r="AC152" s="127">
        <f t="shared" si="29"/>
        <v>1.3520833333333331</v>
      </c>
      <c r="AE152"/>
    </row>
    <row r="153" spans="4:31">
      <c r="D153" s="107"/>
      <c r="E153"/>
      <c r="F153"/>
      <c r="G153"/>
      <c r="Q153" s="108">
        <v>48</v>
      </c>
      <c r="R153" t="s">
        <v>122</v>
      </c>
      <c r="S153" s="135">
        <v>87.35</v>
      </c>
      <c r="T153" s="136">
        <v>46.45</v>
      </c>
      <c r="U153" s="122">
        <v>36</v>
      </c>
      <c r="V153" s="123">
        <v>15</v>
      </c>
      <c r="W153" s="126">
        <f t="shared" si="25"/>
        <v>7.0685834705770345</v>
      </c>
      <c r="X153" s="127">
        <f t="shared" si="26"/>
        <v>1.227184630308513</v>
      </c>
      <c r="Y153" s="139">
        <v>40.9</v>
      </c>
      <c r="Z153" s="126">
        <v>17.73</v>
      </c>
      <c r="AA153" s="126">
        <f t="shared" si="27"/>
        <v>9.1237632063394827</v>
      </c>
      <c r="AB153" s="126">
        <f t="shared" si="28"/>
        <v>1.7145290994351507</v>
      </c>
      <c r="AC153" s="127">
        <f t="shared" si="29"/>
        <v>1.3520833333333331</v>
      </c>
      <c r="AE153"/>
    </row>
    <row r="154" spans="4:31">
      <c r="D154" s="107"/>
      <c r="E154"/>
      <c r="F154"/>
      <c r="G154"/>
      <c r="Q154" s="108">
        <v>49</v>
      </c>
      <c r="R154" t="s">
        <v>123</v>
      </c>
      <c r="S154" s="135">
        <v>91.27</v>
      </c>
      <c r="T154" s="136">
        <v>50.37</v>
      </c>
      <c r="U154" s="122">
        <v>36</v>
      </c>
      <c r="V154" s="123">
        <v>18</v>
      </c>
      <c r="W154" s="126">
        <f t="shared" si="25"/>
        <v>7.0685834705770345</v>
      </c>
      <c r="X154" s="127">
        <f t="shared" si="26"/>
        <v>1.7671458676442586</v>
      </c>
      <c r="Y154" s="139">
        <v>40.9</v>
      </c>
      <c r="Z154" s="126">
        <v>21.45</v>
      </c>
      <c r="AA154" s="126">
        <f t="shared" si="27"/>
        <v>9.1237632063394827</v>
      </c>
      <c r="AB154" s="126">
        <f t="shared" si="28"/>
        <v>2.5094698505178781</v>
      </c>
      <c r="AC154" s="127">
        <f t="shared" si="29"/>
        <v>1.3520833333333331</v>
      </c>
      <c r="AE154"/>
    </row>
    <row r="155" spans="4:31">
      <c r="D155" s="107"/>
      <c r="E155"/>
      <c r="F155"/>
      <c r="G155"/>
      <c r="Q155" s="108">
        <v>50</v>
      </c>
      <c r="R155" t="s">
        <v>141</v>
      </c>
      <c r="S155" s="135">
        <v>92.05</v>
      </c>
      <c r="T155" s="136">
        <v>51.15</v>
      </c>
      <c r="U155" s="122">
        <v>36</v>
      </c>
      <c r="V155" s="123">
        <v>24</v>
      </c>
      <c r="W155" s="126">
        <f t="shared" si="25"/>
        <v>7.0685834705770345</v>
      </c>
      <c r="X155" s="127">
        <f t="shared" si="26"/>
        <v>3.1415926535897931</v>
      </c>
      <c r="Y155" s="139">
        <v>40.9</v>
      </c>
      <c r="Z155" s="126">
        <v>28.2</v>
      </c>
      <c r="AA155" s="126">
        <f t="shared" si="27"/>
        <v>9.1237632063394827</v>
      </c>
      <c r="AB155" s="126">
        <f t="shared" si="28"/>
        <v>4.3373613573624086</v>
      </c>
      <c r="AC155" s="127">
        <f t="shared" si="29"/>
        <v>1.3520833333333331</v>
      </c>
      <c r="AE155"/>
    </row>
    <row r="156" spans="4:31">
      <c r="D156" s="107"/>
      <c r="E156"/>
      <c r="F156"/>
      <c r="G156"/>
      <c r="Q156" s="108">
        <v>51</v>
      </c>
      <c r="R156" t="s">
        <v>142</v>
      </c>
      <c r="S156" s="135">
        <v>88.9</v>
      </c>
      <c r="T156" s="136">
        <v>48</v>
      </c>
      <c r="U156" s="122">
        <v>36</v>
      </c>
      <c r="V156" s="123">
        <v>30</v>
      </c>
      <c r="W156" s="126">
        <f t="shared" si="25"/>
        <v>7.0685834705770345</v>
      </c>
      <c r="X156" s="127">
        <f t="shared" si="26"/>
        <v>4.908738521234052</v>
      </c>
      <c r="Y156" s="139">
        <v>40.9</v>
      </c>
      <c r="Z156" s="126">
        <v>34.89</v>
      </c>
      <c r="AA156" s="126">
        <f t="shared" si="27"/>
        <v>9.1237632063394827</v>
      </c>
      <c r="AB156" s="126">
        <f t="shared" si="28"/>
        <v>6.6394075529270218</v>
      </c>
      <c r="AC156" s="127">
        <f t="shared" si="29"/>
        <v>1.3520833333333331</v>
      </c>
      <c r="AE156"/>
    </row>
    <row r="157" spans="4:31">
      <c r="D157" s="107"/>
      <c r="E157"/>
      <c r="F157"/>
      <c r="G157"/>
      <c r="Q157" s="108">
        <v>52</v>
      </c>
      <c r="R157" t="s">
        <v>696</v>
      </c>
      <c r="S157" s="135">
        <v>88.9</v>
      </c>
      <c r="T157" s="136">
        <v>48</v>
      </c>
      <c r="U157" s="122">
        <v>36</v>
      </c>
      <c r="V157" s="123">
        <v>36</v>
      </c>
      <c r="W157" s="126">
        <f t="shared" si="25"/>
        <v>7.0685834705770345</v>
      </c>
      <c r="X157" s="127">
        <f t="shared" si="26"/>
        <v>7.0685834705770345</v>
      </c>
      <c r="Y157" s="139">
        <v>40.9</v>
      </c>
      <c r="Z157" s="126">
        <v>40.9</v>
      </c>
      <c r="AA157" s="126">
        <f t="shared" si="27"/>
        <v>9.1237632063394827</v>
      </c>
      <c r="AB157" s="126">
        <f t="shared" si="28"/>
        <v>9.1237632063394827</v>
      </c>
      <c r="AC157" s="127">
        <f t="shared" si="29"/>
        <v>1.3520833333333331</v>
      </c>
      <c r="AE157"/>
    </row>
    <row r="158" spans="4:31">
      <c r="D158" s="107"/>
      <c r="E158"/>
      <c r="F158"/>
      <c r="G158"/>
      <c r="Q158" s="108">
        <v>53</v>
      </c>
      <c r="R158" t="s">
        <v>124</v>
      </c>
      <c r="S158" s="135">
        <v>95.29</v>
      </c>
      <c r="T158" s="136">
        <v>47.76</v>
      </c>
      <c r="U158" s="122">
        <v>42</v>
      </c>
      <c r="V158" s="123">
        <v>4</v>
      </c>
      <c r="W158" s="126">
        <f t="shared" ref="W158:W179" si="38">PI()*(U158/12)^2/4</f>
        <v>9.6211275016187408</v>
      </c>
      <c r="X158" s="127">
        <f t="shared" ref="X158:X179" si="39">PI()*(V158/12)^2/4</f>
        <v>8.7266462599716474E-2</v>
      </c>
      <c r="Y158" s="139">
        <v>47.53</v>
      </c>
      <c r="Z158" s="126">
        <v>4.75</v>
      </c>
      <c r="AA158" s="126">
        <f t="shared" ref="AA158:AA179" si="40">PI()*(Y158/12)^2/4</f>
        <v>12.32148401242724</v>
      </c>
      <c r="AB158" s="126">
        <f t="shared" ref="AB158:AB179" si="41">PI()*(Z158/12)^2/4</f>
        <v>0.12305934765038143</v>
      </c>
      <c r="AC158" s="127">
        <f t="shared" ref="AC158:AC179" si="42">(IF(1.5*Y158+12&gt;=Y158+16,1.5*Y158+12,Y158+16)-Y158)/24</f>
        <v>1.4902083333333334</v>
      </c>
      <c r="AE158"/>
    </row>
    <row r="159" spans="4:31">
      <c r="D159" s="107"/>
      <c r="E159"/>
      <c r="F159"/>
      <c r="G159"/>
      <c r="H159"/>
      <c r="Q159" s="108">
        <v>54</v>
      </c>
      <c r="R159" t="s">
        <v>125</v>
      </c>
      <c r="S159" s="135">
        <v>95.84</v>
      </c>
      <c r="T159" s="136">
        <v>48.31</v>
      </c>
      <c r="U159" s="122">
        <v>42</v>
      </c>
      <c r="V159" s="123">
        <v>6</v>
      </c>
      <c r="W159" s="126">
        <f t="shared" si="38"/>
        <v>9.6211275016187408</v>
      </c>
      <c r="X159" s="127">
        <f t="shared" si="39"/>
        <v>0.19634954084936207</v>
      </c>
      <c r="Y159" s="139">
        <v>47.53</v>
      </c>
      <c r="Z159" s="126">
        <v>7.05</v>
      </c>
      <c r="AA159" s="126">
        <f t="shared" si="40"/>
        <v>12.32148401242724</v>
      </c>
      <c r="AB159" s="126">
        <f t="shared" si="41"/>
        <v>0.27108508483515054</v>
      </c>
      <c r="AC159" s="127">
        <f t="shared" si="42"/>
        <v>1.4902083333333334</v>
      </c>
      <c r="AE159"/>
    </row>
    <row r="160" spans="4:31">
      <c r="D160" s="107"/>
      <c r="E160"/>
      <c r="F160"/>
      <c r="G160"/>
      <c r="H160"/>
      <c r="Q160" s="108">
        <v>55</v>
      </c>
      <c r="R160" t="s">
        <v>126</v>
      </c>
      <c r="S160" s="135">
        <v>96.11</v>
      </c>
      <c r="T160" s="136">
        <v>48.58</v>
      </c>
      <c r="U160" s="122">
        <v>42</v>
      </c>
      <c r="V160" s="123">
        <v>8</v>
      </c>
      <c r="W160" s="126">
        <f t="shared" si="38"/>
        <v>9.6211275016187408</v>
      </c>
      <c r="X160" s="127">
        <f t="shared" si="39"/>
        <v>0.3490658503988659</v>
      </c>
      <c r="Y160" s="139">
        <v>47.53</v>
      </c>
      <c r="Z160" s="126">
        <v>9.4</v>
      </c>
      <c r="AA160" s="126">
        <f t="shared" si="40"/>
        <v>12.32148401242724</v>
      </c>
      <c r="AB160" s="126">
        <f t="shared" si="41"/>
        <v>0.48192903970693424</v>
      </c>
      <c r="AC160" s="127">
        <f t="shared" si="42"/>
        <v>1.4902083333333334</v>
      </c>
      <c r="AE160"/>
    </row>
    <row r="161" spans="4:31">
      <c r="D161" s="107"/>
      <c r="E161"/>
      <c r="F161"/>
      <c r="G161"/>
      <c r="H161"/>
      <c r="Q161" s="108">
        <v>56</v>
      </c>
      <c r="R161" t="s">
        <v>127</v>
      </c>
      <c r="S161" s="135">
        <v>95.22</v>
      </c>
      <c r="T161" s="136">
        <v>47.69</v>
      </c>
      <c r="U161" s="122">
        <v>42</v>
      </c>
      <c r="V161" s="123">
        <v>10</v>
      </c>
      <c r="W161" s="126">
        <f t="shared" si="38"/>
        <v>9.6211275016187408</v>
      </c>
      <c r="X161" s="127">
        <f t="shared" si="39"/>
        <v>0.54541539124822802</v>
      </c>
      <c r="Y161" s="139">
        <v>47.53</v>
      </c>
      <c r="Z161" s="126">
        <v>12</v>
      </c>
      <c r="AA161" s="126">
        <f t="shared" si="40"/>
        <v>12.32148401242724</v>
      </c>
      <c r="AB161" s="126">
        <f t="shared" si="41"/>
        <v>0.78539816339744828</v>
      </c>
      <c r="AC161" s="127">
        <f t="shared" si="42"/>
        <v>1.4902083333333334</v>
      </c>
      <c r="AE161"/>
    </row>
    <row r="162" spans="4:31">
      <c r="D162" s="107"/>
      <c r="E162"/>
      <c r="F162"/>
      <c r="G162"/>
      <c r="H162"/>
      <c r="Q162" s="108">
        <v>57</v>
      </c>
      <c r="R162" t="s">
        <v>128</v>
      </c>
      <c r="S162" s="135">
        <v>96.71</v>
      </c>
      <c r="T162" s="136">
        <v>49.18</v>
      </c>
      <c r="U162" s="122">
        <v>42</v>
      </c>
      <c r="V162" s="123">
        <v>12</v>
      </c>
      <c r="W162" s="126">
        <f t="shared" si="38"/>
        <v>9.6211275016187408</v>
      </c>
      <c r="X162" s="127">
        <f t="shared" si="39"/>
        <v>0.78539816339744828</v>
      </c>
      <c r="Y162" s="139">
        <v>47.53</v>
      </c>
      <c r="Z162" s="126">
        <v>14.58</v>
      </c>
      <c r="AA162" s="126">
        <f t="shared" si="40"/>
        <v>12.32148401242724</v>
      </c>
      <c r="AB162" s="126">
        <f t="shared" si="41"/>
        <v>1.1594244037613981</v>
      </c>
      <c r="AC162" s="127">
        <f t="shared" si="42"/>
        <v>1.4902083333333334</v>
      </c>
      <c r="AE162"/>
    </row>
    <row r="163" spans="4:31">
      <c r="D163" s="107"/>
      <c r="E163"/>
      <c r="F163"/>
      <c r="G163"/>
      <c r="H163"/>
      <c r="Q163" s="108">
        <v>58</v>
      </c>
      <c r="R163" t="s">
        <v>129</v>
      </c>
      <c r="S163" s="135">
        <v>93.98</v>
      </c>
      <c r="T163" s="136">
        <v>46.45</v>
      </c>
      <c r="U163" s="122">
        <v>42</v>
      </c>
      <c r="V163" s="123">
        <v>15</v>
      </c>
      <c r="W163" s="126">
        <f t="shared" si="38"/>
        <v>9.6211275016187408</v>
      </c>
      <c r="X163" s="127">
        <f t="shared" si="39"/>
        <v>1.227184630308513</v>
      </c>
      <c r="Y163" s="139">
        <v>47.53</v>
      </c>
      <c r="Z163" s="126">
        <v>17.73</v>
      </c>
      <c r="AA163" s="126">
        <f t="shared" si="40"/>
        <v>12.32148401242724</v>
      </c>
      <c r="AB163" s="126">
        <f t="shared" si="41"/>
        <v>1.7145290994351507</v>
      </c>
      <c r="AC163" s="127">
        <f t="shared" si="42"/>
        <v>1.4902083333333334</v>
      </c>
      <c r="AE163"/>
    </row>
    <row r="164" spans="4:31">
      <c r="D164"/>
      <c r="E164"/>
      <c r="F164"/>
      <c r="G164"/>
      <c r="H164"/>
      <c r="Q164" s="108">
        <v>59</v>
      </c>
      <c r="R164" t="s">
        <v>130</v>
      </c>
      <c r="S164" s="135">
        <v>97.9</v>
      </c>
      <c r="T164" s="136">
        <v>50.37</v>
      </c>
      <c r="U164" s="122">
        <v>42</v>
      </c>
      <c r="V164" s="123">
        <v>18</v>
      </c>
      <c r="W164" s="126">
        <f t="shared" si="38"/>
        <v>9.6211275016187408</v>
      </c>
      <c r="X164" s="127">
        <f t="shared" si="39"/>
        <v>1.7671458676442586</v>
      </c>
      <c r="Y164" s="139">
        <v>47.53</v>
      </c>
      <c r="Z164" s="126">
        <v>21.45</v>
      </c>
      <c r="AA164" s="126">
        <f t="shared" si="40"/>
        <v>12.32148401242724</v>
      </c>
      <c r="AB164" s="126">
        <f t="shared" si="41"/>
        <v>2.5094698505178781</v>
      </c>
      <c r="AC164" s="127">
        <f t="shared" si="42"/>
        <v>1.4902083333333334</v>
      </c>
      <c r="AE164"/>
    </row>
    <row r="165" spans="4:31">
      <c r="D165"/>
      <c r="E165"/>
      <c r="F165"/>
      <c r="G165"/>
      <c r="H165"/>
      <c r="Q165" s="108">
        <v>60</v>
      </c>
      <c r="R165" t="s">
        <v>143</v>
      </c>
      <c r="S165" s="135">
        <v>98.68</v>
      </c>
      <c r="T165" s="136">
        <v>51.15</v>
      </c>
      <c r="U165" s="122">
        <v>42</v>
      </c>
      <c r="V165" s="123">
        <v>24</v>
      </c>
      <c r="W165" s="126">
        <f t="shared" si="38"/>
        <v>9.6211275016187408</v>
      </c>
      <c r="X165" s="127">
        <f t="shared" si="39"/>
        <v>3.1415926535897931</v>
      </c>
      <c r="Y165" s="139">
        <v>47.53</v>
      </c>
      <c r="Z165" s="126">
        <v>28.2</v>
      </c>
      <c r="AA165" s="126">
        <f t="shared" si="40"/>
        <v>12.32148401242724</v>
      </c>
      <c r="AB165" s="126">
        <f t="shared" si="41"/>
        <v>4.3373613573624086</v>
      </c>
      <c r="AC165" s="127">
        <f t="shared" si="42"/>
        <v>1.4902083333333334</v>
      </c>
      <c r="AE165"/>
    </row>
    <row r="166" spans="4:31">
      <c r="D166"/>
      <c r="E166"/>
      <c r="F166"/>
      <c r="G166"/>
      <c r="H166"/>
      <c r="Q166" s="108">
        <v>61</v>
      </c>
      <c r="R166" t="s">
        <v>144</v>
      </c>
      <c r="S166" s="135">
        <v>95.53</v>
      </c>
      <c r="T166" s="136">
        <v>48</v>
      </c>
      <c r="U166" s="122">
        <v>42</v>
      </c>
      <c r="V166" s="123">
        <v>30</v>
      </c>
      <c r="W166" s="126">
        <f t="shared" si="38"/>
        <v>9.6211275016187408</v>
      </c>
      <c r="X166" s="127">
        <f t="shared" si="39"/>
        <v>4.908738521234052</v>
      </c>
      <c r="Y166" s="139">
        <v>47.53</v>
      </c>
      <c r="Z166" s="126">
        <v>34.89</v>
      </c>
      <c r="AA166" s="126">
        <f t="shared" si="40"/>
        <v>12.32148401242724</v>
      </c>
      <c r="AB166" s="126">
        <f t="shared" si="41"/>
        <v>6.6394075529270218</v>
      </c>
      <c r="AC166" s="127">
        <f t="shared" si="42"/>
        <v>1.4902083333333334</v>
      </c>
      <c r="AE166"/>
    </row>
    <row r="167" spans="4:31">
      <c r="D167"/>
      <c r="E167"/>
      <c r="F167"/>
      <c r="G167"/>
      <c r="H167"/>
      <c r="Q167" s="108">
        <v>62</v>
      </c>
      <c r="R167" t="s">
        <v>697</v>
      </c>
      <c r="S167" s="135">
        <v>95.53</v>
      </c>
      <c r="T167" s="136">
        <v>48</v>
      </c>
      <c r="U167" s="122">
        <v>42</v>
      </c>
      <c r="V167" s="123">
        <v>36</v>
      </c>
      <c r="W167" s="126">
        <f t="shared" si="38"/>
        <v>9.6211275016187408</v>
      </c>
      <c r="X167" s="127">
        <f t="shared" si="39"/>
        <v>7.0685834705770345</v>
      </c>
      <c r="Y167" s="139">
        <v>47.53</v>
      </c>
      <c r="Z167" s="126">
        <v>40.9</v>
      </c>
      <c r="AA167" s="126">
        <f t="shared" si="40"/>
        <v>12.32148401242724</v>
      </c>
      <c r="AB167" s="126">
        <f t="shared" si="41"/>
        <v>9.1237632063394827</v>
      </c>
      <c r="AC167" s="127">
        <f t="shared" si="42"/>
        <v>1.4902083333333334</v>
      </c>
      <c r="AE167"/>
    </row>
    <row r="168" spans="4:31">
      <c r="D168"/>
      <c r="E168"/>
      <c r="F168"/>
      <c r="G168"/>
      <c r="H168"/>
      <c r="Q168" s="108">
        <v>63</v>
      </c>
      <c r="R168" t="s">
        <v>698</v>
      </c>
      <c r="S168" s="135">
        <v>95.53</v>
      </c>
      <c r="T168" s="136">
        <v>48</v>
      </c>
      <c r="U168" s="122">
        <v>42</v>
      </c>
      <c r="V168" s="123">
        <v>42</v>
      </c>
      <c r="W168" s="126">
        <f t="shared" si="38"/>
        <v>9.6211275016187408</v>
      </c>
      <c r="X168" s="127">
        <f t="shared" si="39"/>
        <v>9.6211275016187408</v>
      </c>
      <c r="Y168" s="139">
        <v>47.53</v>
      </c>
      <c r="Z168" s="126">
        <v>47.53</v>
      </c>
      <c r="AA168" s="126">
        <f t="shared" si="40"/>
        <v>12.32148401242724</v>
      </c>
      <c r="AB168" s="126">
        <f t="shared" si="41"/>
        <v>12.32148401242724</v>
      </c>
      <c r="AC168" s="127">
        <f t="shared" si="42"/>
        <v>1.4902083333333334</v>
      </c>
      <c r="AE168"/>
    </row>
    <row r="169" spans="4:31">
      <c r="D169"/>
      <c r="E169"/>
      <c r="F169"/>
      <c r="G169"/>
      <c r="H169"/>
      <c r="Q169" s="108">
        <v>64</v>
      </c>
      <c r="R169" t="s">
        <v>131</v>
      </c>
      <c r="S169" s="135">
        <v>102.24</v>
      </c>
      <c r="T169" s="136">
        <v>47.76</v>
      </c>
      <c r="U169" s="122">
        <v>48</v>
      </c>
      <c r="V169" s="528">
        <v>4</v>
      </c>
      <c r="W169" s="126">
        <f t="shared" si="38"/>
        <v>12.566370614359172</v>
      </c>
      <c r="X169" s="127">
        <f t="shared" si="39"/>
        <v>8.7266462599716474E-2</v>
      </c>
      <c r="Y169" s="139">
        <v>54.48</v>
      </c>
      <c r="Z169" s="126">
        <v>4.75</v>
      </c>
      <c r="AA169" s="126">
        <f t="shared" si="40"/>
        <v>16.188312784682843</v>
      </c>
      <c r="AB169" s="126">
        <f t="shared" si="41"/>
        <v>0.12305934765038143</v>
      </c>
      <c r="AC169" s="127">
        <f t="shared" si="42"/>
        <v>1.635</v>
      </c>
      <c r="AE169"/>
    </row>
    <row r="170" spans="4:31">
      <c r="D170"/>
      <c r="E170"/>
      <c r="F170"/>
      <c r="G170"/>
      <c r="H170"/>
      <c r="Q170" s="108">
        <v>65</v>
      </c>
      <c r="R170" t="s">
        <v>132</v>
      </c>
      <c r="S170" s="135">
        <v>102.79</v>
      </c>
      <c r="T170" s="136">
        <v>48.31</v>
      </c>
      <c r="U170" s="122">
        <v>48</v>
      </c>
      <c r="V170" s="528">
        <v>6</v>
      </c>
      <c r="W170" s="126">
        <f t="shared" si="38"/>
        <v>12.566370614359172</v>
      </c>
      <c r="X170" s="127">
        <f t="shared" si="39"/>
        <v>0.19634954084936207</v>
      </c>
      <c r="Y170" s="139">
        <v>54.48</v>
      </c>
      <c r="Z170" s="126">
        <v>7.05</v>
      </c>
      <c r="AA170" s="126">
        <f t="shared" si="40"/>
        <v>16.188312784682843</v>
      </c>
      <c r="AB170" s="126">
        <f t="shared" si="41"/>
        <v>0.27108508483515054</v>
      </c>
      <c r="AC170" s="127">
        <f t="shared" si="42"/>
        <v>1.635</v>
      </c>
      <c r="AE170"/>
    </row>
    <row r="171" spans="4:31">
      <c r="D171"/>
      <c r="E171"/>
      <c r="F171"/>
      <c r="G171"/>
      <c r="H171"/>
      <c r="Q171" s="108">
        <v>66</v>
      </c>
      <c r="R171" t="s">
        <v>133</v>
      </c>
      <c r="S171" s="135">
        <v>103.06</v>
      </c>
      <c r="T171" s="136">
        <v>48.58</v>
      </c>
      <c r="U171" s="122">
        <v>48</v>
      </c>
      <c r="V171" s="528">
        <v>8</v>
      </c>
      <c r="W171" s="126">
        <f t="shared" si="38"/>
        <v>12.566370614359172</v>
      </c>
      <c r="X171" s="127">
        <f t="shared" si="39"/>
        <v>0.3490658503988659</v>
      </c>
      <c r="Y171" s="139">
        <v>54.48</v>
      </c>
      <c r="Z171" s="126">
        <v>9.4</v>
      </c>
      <c r="AA171" s="126">
        <f t="shared" si="40"/>
        <v>16.188312784682843</v>
      </c>
      <c r="AB171" s="126">
        <f t="shared" si="41"/>
        <v>0.48192903970693424</v>
      </c>
      <c r="AC171" s="127">
        <f t="shared" si="42"/>
        <v>1.635</v>
      </c>
      <c r="AE171"/>
    </row>
    <row r="172" spans="4:31">
      <c r="D172"/>
      <c r="E172"/>
      <c r="F172"/>
      <c r="G172"/>
      <c r="H172"/>
      <c r="Q172" s="108">
        <v>67</v>
      </c>
      <c r="R172" t="s">
        <v>134</v>
      </c>
      <c r="S172" s="135">
        <v>102.17</v>
      </c>
      <c r="T172" s="136">
        <v>47.69</v>
      </c>
      <c r="U172" s="122">
        <v>48</v>
      </c>
      <c r="V172" s="528">
        <v>10</v>
      </c>
      <c r="W172" s="126">
        <f t="shared" si="38"/>
        <v>12.566370614359172</v>
      </c>
      <c r="X172" s="127">
        <f t="shared" si="39"/>
        <v>0.54541539124822802</v>
      </c>
      <c r="Y172" s="139">
        <v>54.48</v>
      </c>
      <c r="Z172" s="126">
        <v>12</v>
      </c>
      <c r="AA172" s="126">
        <f t="shared" si="40"/>
        <v>16.188312784682843</v>
      </c>
      <c r="AB172" s="126">
        <f t="shared" si="41"/>
        <v>0.78539816339744828</v>
      </c>
      <c r="AC172" s="127">
        <f t="shared" si="42"/>
        <v>1.635</v>
      </c>
      <c r="AE172"/>
    </row>
    <row r="173" spans="4:31">
      <c r="D173"/>
      <c r="E173"/>
      <c r="F173"/>
      <c r="G173"/>
      <c r="H173"/>
      <c r="Q173" s="108">
        <v>68</v>
      </c>
      <c r="R173" t="s">
        <v>135</v>
      </c>
      <c r="S173" s="135">
        <v>103.66</v>
      </c>
      <c r="T173" s="136">
        <v>49.18</v>
      </c>
      <c r="U173" s="122">
        <v>48</v>
      </c>
      <c r="V173" s="528">
        <v>12</v>
      </c>
      <c r="W173" s="126">
        <f t="shared" si="38"/>
        <v>12.566370614359172</v>
      </c>
      <c r="X173" s="127">
        <f t="shared" si="39"/>
        <v>0.78539816339744828</v>
      </c>
      <c r="Y173" s="139">
        <v>54.48</v>
      </c>
      <c r="Z173" s="126">
        <v>14.58</v>
      </c>
      <c r="AA173" s="126">
        <f t="shared" si="40"/>
        <v>16.188312784682843</v>
      </c>
      <c r="AB173" s="126">
        <f t="shared" si="41"/>
        <v>1.1594244037613981</v>
      </c>
      <c r="AC173" s="127">
        <f t="shared" si="42"/>
        <v>1.635</v>
      </c>
      <c r="AE173"/>
    </row>
    <row r="174" spans="4:31">
      <c r="D174"/>
      <c r="E174"/>
      <c r="F174"/>
      <c r="G174"/>
      <c r="H174"/>
      <c r="Q174" s="108">
        <v>69</v>
      </c>
      <c r="R174" t="s">
        <v>136</v>
      </c>
      <c r="S174" s="135">
        <v>100.93</v>
      </c>
      <c r="T174" s="136">
        <v>46.45</v>
      </c>
      <c r="U174" s="122">
        <v>48</v>
      </c>
      <c r="V174" s="528">
        <v>15</v>
      </c>
      <c r="W174" s="126">
        <f t="shared" si="38"/>
        <v>12.566370614359172</v>
      </c>
      <c r="X174" s="127">
        <f t="shared" si="39"/>
        <v>1.227184630308513</v>
      </c>
      <c r="Y174" s="139">
        <v>54.48</v>
      </c>
      <c r="Z174" s="126">
        <v>17.73</v>
      </c>
      <c r="AA174" s="126">
        <f t="shared" si="40"/>
        <v>16.188312784682843</v>
      </c>
      <c r="AB174" s="126">
        <f t="shared" si="41"/>
        <v>1.7145290994351507</v>
      </c>
      <c r="AC174" s="127">
        <f t="shared" si="42"/>
        <v>1.635</v>
      </c>
      <c r="AE174"/>
    </row>
    <row r="175" spans="4:31">
      <c r="D175"/>
      <c r="E175"/>
      <c r="F175"/>
      <c r="G175"/>
      <c r="H175"/>
      <c r="Q175" s="108">
        <v>70</v>
      </c>
      <c r="R175" t="s">
        <v>137</v>
      </c>
      <c r="S175" s="135">
        <v>104.85</v>
      </c>
      <c r="T175" s="136">
        <v>50.37</v>
      </c>
      <c r="U175" s="122">
        <v>48</v>
      </c>
      <c r="V175" s="528">
        <v>18</v>
      </c>
      <c r="W175" s="126">
        <f t="shared" si="38"/>
        <v>12.566370614359172</v>
      </c>
      <c r="X175" s="127">
        <f t="shared" si="39"/>
        <v>1.7671458676442586</v>
      </c>
      <c r="Y175" s="139">
        <v>54.48</v>
      </c>
      <c r="Z175" s="126">
        <v>21.45</v>
      </c>
      <c r="AA175" s="126">
        <f t="shared" si="40"/>
        <v>16.188312784682843</v>
      </c>
      <c r="AB175" s="126">
        <f t="shared" si="41"/>
        <v>2.5094698505178781</v>
      </c>
      <c r="AC175" s="127">
        <f t="shared" si="42"/>
        <v>1.635</v>
      </c>
      <c r="AE175"/>
    </row>
    <row r="176" spans="4:31">
      <c r="D176"/>
      <c r="E176"/>
      <c r="F176"/>
      <c r="G176"/>
      <c r="H176"/>
      <c r="Q176" s="108">
        <v>71</v>
      </c>
      <c r="R176" t="s">
        <v>145</v>
      </c>
      <c r="S176" s="135">
        <v>105.63</v>
      </c>
      <c r="T176" s="136">
        <v>51.15</v>
      </c>
      <c r="U176" s="122">
        <v>48</v>
      </c>
      <c r="V176" s="528">
        <v>24</v>
      </c>
      <c r="W176" s="126">
        <f t="shared" si="38"/>
        <v>12.566370614359172</v>
      </c>
      <c r="X176" s="127">
        <f t="shared" si="39"/>
        <v>3.1415926535897931</v>
      </c>
      <c r="Y176" s="139">
        <v>54.48</v>
      </c>
      <c r="Z176" s="126">
        <v>28.2</v>
      </c>
      <c r="AA176" s="126">
        <f t="shared" si="40"/>
        <v>16.188312784682843</v>
      </c>
      <c r="AB176" s="126">
        <f t="shared" si="41"/>
        <v>4.3373613573624086</v>
      </c>
      <c r="AC176" s="127">
        <f t="shared" si="42"/>
        <v>1.635</v>
      </c>
      <c r="AE176"/>
    </row>
    <row r="177" spans="4:31">
      <c r="D177"/>
      <c r="E177"/>
      <c r="F177"/>
      <c r="G177"/>
      <c r="H177"/>
      <c r="Q177" s="108">
        <v>72</v>
      </c>
      <c r="R177" t="s">
        <v>146</v>
      </c>
      <c r="S177" s="135">
        <v>102.48</v>
      </c>
      <c r="T177" s="136">
        <v>48</v>
      </c>
      <c r="U177" s="122">
        <v>48</v>
      </c>
      <c r="V177" s="528">
        <v>30</v>
      </c>
      <c r="W177" s="126">
        <f t="shared" si="38"/>
        <v>12.566370614359172</v>
      </c>
      <c r="X177" s="127">
        <f t="shared" si="39"/>
        <v>4.908738521234052</v>
      </c>
      <c r="Y177" s="139">
        <v>54.48</v>
      </c>
      <c r="Z177" s="126">
        <v>34.89</v>
      </c>
      <c r="AA177" s="126">
        <f t="shared" si="40"/>
        <v>16.188312784682843</v>
      </c>
      <c r="AB177" s="126">
        <f t="shared" si="41"/>
        <v>6.6394075529270218</v>
      </c>
      <c r="AC177" s="127">
        <f t="shared" si="42"/>
        <v>1.635</v>
      </c>
      <c r="AE177"/>
    </row>
    <row r="178" spans="4:31">
      <c r="D178"/>
      <c r="E178"/>
      <c r="F178"/>
      <c r="G178"/>
      <c r="H178"/>
      <c r="Q178" s="108">
        <v>73</v>
      </c>
      <c r="R178" t="s">
        <v>699</v>
      </c>
      <c r="S178" s="135">
        <v>102.48</v>
      </c>
      <c r="T178" s="136">
        <v>48</v>
      </c>
      <c r="U178" s="122">
        <v>48</v>
      </c>
      <c r="V178" s="528">
        <v>36</v>
      </c>
      <c r="W178" s="126">
        <f t="shared" si="38"/>
        <v>12.566370614359172</v>
      </c>
      <c r="X178" s="127">
        <f t="shared" si="39"/>
        <v>7.0685834705770345</v>
      </c>
      <c r="Y178" s="139">
        <v>54.48</v>
      </c>
      <c r="Z178" s="126">
        <v>40.9</v>
      </c>
      <c r="AA178" s="126">
        <f t="shared" si="40"/>
        <v>16.188312784682843</v>
      </c>
      <c r="AB178" s="126">
        <f t="shared" si="41"/>
        <v>9.1237632063394827</v>
      </c>
      <c r="AC178" s="127">
        <f t="shared" si="42"/>
        <v>1.635</v>
      </c>
      <c r="AE178"/>
    </row>
    <row r="179" spans="4:31">
      <c r="D179"/>
      <c r="E179"/>
      <c r="F179"/>
      <c r="G179"/>
      <c r="H179"/>
      <c r="Q179" s="108">
        <v>74</v>
      </c>
      <c r="R179" t="s">
        <v>700</v>
      </c>
      <c r="S179" s="135">
        <v>102.48</v>
      </c>
      <c r="T179" s="136">
        <v>48</v>
      </c>
      <c r="U179" s="122">
        <v>48</v>
      </c>
      <c r="V179" s="528">
        <v>42</v>
      </c>
      <c r="W179" s="126">
        <f t="shared" si="38"/>
        <v>12.566370614359172</v>
      </c>
      <c r="X179" s="127">
        <f t="shared" si="39"/>
        <v>9.6211275016187408</v>
      </c>
      <c r="Y179" s="139">
        <v>54.48</v>
      </c>
      <c r="Z179" s="126">
        <v>47.53</v>
      </c>
      <c r="AA179" s="126">
        <f t="shared" si="40"/>
        <v>16.188312784682843</v>
      </c>
      <c r="AB179" s="126">
        <f t="shared" si="41"/>
        <v>12.32148401242724</v>
      </c>
      <c r="AC179" s="127">
        <f t="shared" si="42"/>
        <v>1.635</v>
      </c>
      <c r="AE179"/>
    </row>
    <row r="180" spans="4:31">
      <c r="D180"/>
      <c r="E180"/>
      <c r="F180"/>
      <c r="G180"/>
      <c r="H180"/>
      <c r="Q180" s="108">
        <v>75</v>
      </c>
      <c r="R180" t="s">
        <v>839</v>
      </c>
      <c r="S180" s="135">
        <v>114.61</v>
      </c>
      <c r="T180" s="136">
        <v>47.76</v>
      </c>
      <c r="U180" s="122">
        <v>60</v>
      </c>
      <c r="V180" s="528">
        <v>4</v>
      </c>
      <c r="W180" s="126">
        <f t="shared" ref="W180:X184" si="43">PI()*(U180/12)^2/4</f>
        <v>19.634954084936208</v>
      </c>
      <c r="X180" s="127">
        <f t="shared" si="43"/>
        <v>8.7266462599716474E-2</v>
      </c>
      <c r="Y180" s="139">
        <v>66.849999999999994</v>
      </c>
      <c r="Z180" s="126">
        <v>4.75</v>
      </c>
      <c r="AA180" s="126">
        <f t="shared" ref="AA180:AB184" si="44">PI()*(Y180/12)^2/4</f>
        <v>24.374191137955087</v>
      </c>
      <c r="AB180" s="126">
        <f t="shared" si="44"/>
        <v>0.12305934765038143</v>
      </c>
      <c r="AC180" s="127">
        <f>(IF(1.5*Y180+12&gt;=Y180+16,1.5*Y180+12,Y180+16)-Y180)/24</f>
        <v>1.8927083333333332</v>
      </c>
      <c r="AE180"/>
    </row>
    <row r="181" spans="4:31">
      <c r="D181"/>
      <c r="E181"/>
      <c r="F181"/>
      <c r="G181"/>
      <c r="H181"/>
      <c r="Q181" s="108">
        <v>76</v>
      </c>
      <c r="R181" t="s">
        <v>840</v>
      </c>
      <c r="S181" s="135">
        <v>115.16</v>
      </c>
      <c r="T181" s="136">
        <v>48.31</v>
      </c>
      <c r="U181" s="122">
        <v>60</v>
      </c>
      <c r="V181" s="528">
        <v>6</v>
      </c>
      <c r="W181" s="126">
        <f t="shared" si="43"/>
        <v>19.634954084936208</v>
      </c>
      <c r="X181" s="127">
        <f t="shared" si="43"/>
        <v>0.19634954084936207</v>
      </c>
      <c r="Y181" s="139">
        <v>66.849999999999994</v>
      </c>
      <c r="Z181" s="126">
        <v>7.05</v>
      </c>
      <c r="AA181" s="126">
        <f t="shared" si="44"/>
        <v>24.374191137955087</v>
      </c>
      <c r="AB181" s="126">
        <f t="shared" si="44"/>
        <v>0.27108508483515054</v>
      </c>
      <c r="AC181" s="127">
        <f>(IF(1.5*Y181+12&gt;=Y181+16,1.5*Y181+12,Y181+16)-Y181)/24</f>
        <v>1.8927083333333332</v>
      </c>
      <c r="AE181"/>
    </row>
    <row r="182" spans="4:31">
      <c r="D182"/>
      <c r="E182"/>
      <c r="F182"/>
      <c r="G182"/>
      <c r="H182"/>
      <c r="Q182" s="108">
        <v>77</v>
      </c>
      <c r="R182" t="s">
        <v>841</v>
      </c>
      <c r="S182" s="135">
        <v>115.43</v>
      </c>
      <c r="T182" s="136">
        <v>48.58</v>
      </c>
      <c r="U182" s="122">
        <v>60</v>
      </c>
      <c r="V182" s="528">
        <v>8</v>
      </c>
      <c r="W182" s="126">
        <f t="shared" si="43"/>
        <v>19.634954084936208</v>
      </c>
      <c r="X182" s="127">
        <f t="shared" si="43"/>
        <v>0.3490658503988659</v>
      </c>
      <c r="Y182" s="139">
        <v>66.849999999999994</v>
      </c>
      <c r="Z182" s="126">
        <v>9.4</v>
      </c>
      <c r="AA182" s="126">
        <f t="shared" si="44"/>
        <v>24.374191137955087</v>
      </c>
      <c r="AB182" s="126">
        <f t="shared" si="44"/>
        <v>0.48192903970693424</v>
      </c>
      <c r="AC182" s="127">
        <f>(IF(1.5*Y182+12&gt;=Y182+16,1.5*Y182+12,Y182+16)-Y182)/24</f>
        <v>1.8927083333333332</v>
      </c>
      <c r="AE182"/>
    </row>
    <row r="183" spans="4:31">
      <c r="D183"/>
      <c r="E183"/>
      <c r="F183"/>
      <c r="G183"/>
      <c r="H183"/>
      <c r="Q183" s="108">
        <v>78</v>
      </c>
      <c r="R183" t="s">
        <v>842</v>
      </c>
      <c r="S183" s="135">
        <v>114.54</v>
      </c>
      <c r="T183" s="136">
        <v>47.69</v>
      </c>
      <c r="U183" s="122">
        <v>60</v>
      </c>
      <c r="V183" s="528">
        <v>10</v>
      </c>
      <c r="W183" s="126">
        <f t="shared" si="43"/>
        <v>19.634954084936208</v>
      </c>
      <c r="X183" s="127">
        <f t="shared" si="43"/>
        <v>0.54541539124822802</v>
      </c>
      <c r="Y183" s="139">
        <v>66.849999999999994</v>
      </c>
      <c r="Z183" s="126">
        <v>12</v>
      </c>
      <c r="AA183" s="126">
        <f t="shared" si="44"/>
        <v>24.374191137955087</v>
      </c>
      <c r="AB183" s="126">
        <f t="shared" si="44"/>
        <v>0.78539816339744828</v>
      </c>
      <c r="AC183" s="127">
        <f>(IF(1.5*Y183+12&gt;=Y183+16,1.5*Y183+12,Y183+16)-Y183)/24</f>
        <v>1.8927083333333332</v>
      </c>
      <c r="AE183"/>
    </row>
    <row r="184" spans="4:31">
      <c r="D184"/>
      <c r="E184"/>
      <c r="F184"/>
      <c r="G184"/>
      <c r="H184"/>
      <c r="Q184" s="108">
        <v>79</v>
      </c>
      <c r="R184" t="s">
        <v>843</v>
      </c>
      <c r="S184" s="135">
        <v>116.03</v>
      </c>
      <c r="T184" s="136">
        <v>49.18</v>
      </c>
      <c r="U184" s="122">
        <v>60</v>
      </c>
      <c r="V184" s="528">
        <v>12</v>
      </c>
      <c r="W184" s="126">
        <f t="shared" si="43"/>
        <v>19.634954084936208</v>
      </c>
      <c r="X184" s="127">
        <f t="shared" si="43"/>
        <v>0.78539816339744828</v>
      </c>
      <c r="Y184" s="139">
        <v>66.849999999999994</v>
      </c>
      <c r="Z184" s="126">
        <v>14.58</v>
      </c>
      <c r="AA184" s="126">
        <f t="shared" si="44"/>
        <v>24.374191137955087</v>
      </c>
      <c r="AB184" s="126">
        <f t="shared" si="44"/>
        <v>1.1594244037613981</v>
      </c>
      <c r="AC184" s="127">
        <f>(IF(1.5*Y184+12&gt;=Y184+16,1.5*Y184+12,Y184+16)-Y184)/24</f>
        <v>1.8927083333333332</v>
      </c>
      <c r="AE184"/>
    </row>
    <row r="185" spans="4:31">
      <c r="D185"/>
      <c r="E185"/>
      <c r="F185"/>
      <c r="G185"/>
      <c r="H185"/>
      <c r="Q185" s="108">
        <v>80</v>
      </c>
      <c r="R185" t="s">
        <v>844</v>
      </c>
      <c r="S185" s="135">
        <v>113.3</v>
      </c>
      <c r="T185" s="136">
        <v>46.45</v>
      </c>
      <c r="U185" s="122">
        <v>60</v>
      </c>
      <c r="V185" s="528">
        <v>15</v>
      </c>
      <c r="W185" s="126">
        <f t="shared" ref="W185:W190" si="45">PI()*(U185/12)^2/4</f>
        <v>19.634954084936208</v>
      </c>
      <c r="X185" s="127">
        <f t="shared" ref="X185:X190" si="46">PI()*(V185/12)^2/4</f>
        <v>1.227184630308513</v>
      </c>
      <c r="Y185" s="139">
        <v>66.849999999999994</v>
      </c>
      <c r="Z185" s="126">
        <v>17.73</v>
      </c>
      <c r="AA185" s="126">
        <f t="shared" ref="AA185:AA190" si="47">PI()*(Y185/12)^2/4</f>
        <v>24.374191137955087</v>
      </c>
      <c r="AB185" s="126">
        <f t="shared" ref="AB185:AB190" si="48">PI()*(Z185/12)^2/4</f>
        <v>1.7145290994351507</v>
      </c>
      <c r="AC185" s="127">
        <f t="shared" ref="AC185:AC190" si="49">(IF(1.5*Y185+12&gt;=Y185+16,1.5*Y185+12,Y185+16)-Y185)/24</f>
        <v>1.8927083333333332</v>
      </c>
      <c r="AE185"/>
    </row>
    <row r="186" spans="4:31">
      <c r="D186"/>
      <c r="E186"/>
      <c r="F186"/>
      <c r="G186"/>
      <c r="H186"/>
      <c r="Q186" s="108">
        <v>81</v>
      </c>
      <c r="R186" t="s">
        <v>845</v>
      </c>
      <c r="S186" s="135">
        <v>117.22</v>
      </c>
      <c r="T186" s="136">
        <v>50.37</v>
      </c>
      <c r="U186" s="122">
        <v>60</v>
      </c>
      <c r="V186" s="528">
        <v>18</v>
      </c>
      <c r="W186" s="126">
        <f t="shared" si="45"/>
        <v>19.634954084936208</v>
      </c>
      <c r="X186" s="127">
        <f t="shared" si="46"/>
        <v>1.7671458676442586</v>
      </c>
      <c r="Y186" s="139">
        <v>66.849999999999994</v>
      </c>
      <c r="Z186" s="126">
        <v>21.45</v>
      </c>
      <c r="AA186" s="126">
        <f t="shared" si="47"/>
        <v>24.374191137955087</v>
      </c>
      <c r="AB186" s="126">
        <f t="shared" si="48"/>
        <v>2.5094698505178781</v>
      </c>
      <c r="AC186" s="127">
        <f t="shared" si="49"/>
        <v>1.8927083333333332</v>
      </c>
      <c r="AE186"/>
    </row>
    <row r="187" spans="4:31">
      <c r="D187"/>
      <c r="E187"/>
      <c r="F187"/>
      <c r="G187"/>
      <c r="H187"/>
      <c r="Q187" s="108">
        <v>82</v>
      </c>
      <c r="R187" t="s">
        <v>846</v>
      </c>
      <c r="S187" s="135">
        <v>118</v>
      </c>
      <c r="T187" s="136">
        <v>51.15</v>
      </c>
      <c r="U187" s="122">
        <v>60</v>
      </c>
      <c r="V187" s="528">
        <v>24</v>
      </c>
      <c r="W187" s="126">
        <f t="shared" si="45"/>
        <v>19.634954084936208</v>
      </c>
      <c r="X187" s="127">
        <f t="shared" si="46"/>
        <v>3.1415926535897931</v>
      </c>
      <c r="Y187" s="139">
        <v>66.849999999999994</v>
      </c>
      <c r="Z187" s="126">
        <v>28.2</v>
      </c>
      <c r="AA187" s="126">
        <f t="shared" si="47"/>
        <v>24.374191137955087</v>
      </c>
      <c r="AB187" s="126">
        <f t="shared" si="48"/>
        <v>4.3373613573624086</v>
      </c>
      <c r="AC187" s="127">
        <f t="shared" si="49"/>
        <v>1.8927083333333332</v>
      </c>
      <c r="AE187"/>
    </row>
    <row r="188" spans="4:31">
      <c r="D188"/>
      <c r="E188"/>
      <c r="F188"/>
      <c r="G188"/>
      <c r="H188"/>
      <c r="Q188" s="108">
        <v>83</v>
      </c>
      <c r="R188" t="s">
        <v>847</v>
      </c>
      <c r="S188" s="135">
        <v>114.85</v>
      </c>
      <c r="T188" s="136">
        <v>48</v>
      </c>
      <c r="U188" s="122">
        <v>60</v>
      </c>
      <c r="V188" s="528">
        <v>30</v>
      </c>
      <c r="W188" s="126">
        <f t="shared" si="45"/>
        <v>19.634954084936208</v>
      </c>
      <c r="X188" s="127">
        <f t="shared" si="46"/>
        <v>4.908738521234052</v>
      </c>
      <c r="Y188" s="139">
        <v>66.849999999999994</v>
      </c>
      <c r="Z188" s="126">
        <v>34.89</v>
      </c>
      <c r="AA188" s="126">
        <f t="shared" si="47"/>
        <v>24.374191137955087</v>
      </c>
      <c r="AB188" s="126">
        <f t="shared" si="48"/>
        <v>6.6394075529270218</v>
      </c>
      <c r="AC188" s="127">
        <f t="shared" si="49"/>
        <v>1.8927083333333332</v>
      </c>
      <c r="AE188"/>
    </row>
    <row r="189" spans="4:31">
      <c r="D189"/>
      <c r="E189"/>
      <c r="F189"/>
      <c r="G189"/>
      <c r="H189"/>
      <c r="Q189" s="108">
        <v>84</v>
      </c>
      <c r="R189" t="s">
        <v>848</v>
      </c>
      <c r="S189" s="135">
        <v>114.85</v>
      </c>
      <c r="T189" s="136">
        <v>48</v>
      </c>
      <c r="U189" s="122">
        <v>60</v>
      </c>
      <c r="V189" s="528">
        <v>36</v>
      </c>
      <c r="W189" s="126">
        <f t="shared" si="45"/>
        <v>19.634954084936208</v>
      </c>
      <c r="X189" s="127">
        <f t="shared" si="46"/>
        <v>7.0685834705770345</v>
      </c>
      <c r="Y189" s="139">
        <v>66.849999999999994</v>
      </c>
      <c r="Z189" s="126">
        <v>40.9</v>
      </c>
      <c r="AA189" s="126">
        <f t="shared" si="47"/>
        <v>24.374191137955087</v>
      </c>
      <c r="AB189" s="126">
        <f t="shared" si="48"/>
        <v>9.1237632063394827</v>
      </c>
      <c r="AC189" s="127">
        <f t="shared" si="49"/>
        <v>1.8927083333333332</v>
      </c>
    </row>
    <row r="190" spans="4:31" ht="15.75" thickBot="1">
      <c r="D190"/>
      <c r="E190"/>
      <c r="F190"/>
      <c r="G190"/>
      <c r="H190"/>
      <c r="Q190" s="108">
        <v>85</v>
      </c>
      <c r="R190" t="s">
        <v>849</v>
      </c>
      <c r="S190" s="137">
        <v>114.85</v>
      </c>
      <c r="T190" s="138">
        <v>48</v>
      </c>
      <c r="U190" s="128">
        <v>60</v>
      </c>
      <c r="V190" s="129">
        <v>42</v>
      </c>
      <c r="W190" s="130">
        <f t="shared" si="45"/>
        <v>19.634954084936208</v>
      </c>
      <c r="X190" s="131">
        <f t="shared" si="46"/>
        <v>9.6211275016187408</v>
      </c>
      <c r="Y190" s="140">
        <v>66.849999999999994</v>
      </c>
      <c r="Z190" s="130">
        <v>47.53</v>
      </c>
      <c r="AA190" s="130">
        <f t="shared" si="47"/>
        <v>24.374191137955087</v>
      </c>
      <c r="AB190" s="130">
        <f t="shared" si="48"/>
        <v>12.32148401242724</v>
      </c>
      <c r="AC190" s="131">
        <f t="shared" si="49"/>
        <v>1.8927083333333332</v>
      </c>
    </row>
    <row r="296" spans="12:12">
      <c r="L296"/>
    </row>
    <row r="297" spans="12:12">
      <c r="L297"/>
    </row>
    <row r="298" spans="12:12">
      <c r="L298"/>
    </row>
    <row r="299" spans="12:12">
      <c r="L299"/>
    </row>
    <row r="300" spans="12:12">
      <c r="L300"/>
    </row>
    <row r="301" spans="12:12">
      <c r="L301"/>
    </row>
    <row r="302" spans="12:12">
      <c r="L302"/>
    </row>
    <row r="303" spans="12:12">
      <c r="L303"/>
    </row>
    <row r="304" spans="12:12">
      <c r="L304"/>
    </row>
    <row r="305" spans="12:12">
      <c r="L305"/>
    </row>
    <row r="306" spans="12:12">
      <c r="L306"/>
    </row>
    <row r="307" spans="12:12">
      <c r="L307"/>
    </row>
  </sheetData>
  <sheetProtection algorithmName="SHA-512" hashValue="LfRO6G+0Xqwubu2qIA4kustaag+JMn3TjQQOnC5tUOyF4yYCL3VqWBaAuZezj6NOJtb61gWULv9FuTbGIRL5bA==" saltValue="nvS17gIkKEMHUakJcgdutw==" spinCount="100000" sheet="1" objects="1" scenarios="1" selectLockedCells="1" selectUnlockedCells="1"/>
  <mergeCells count="18">
    <mergeCell ref="Y103:AB103"/>
    <mergeCell ref="S10:T10"/>
    <mergeCell ref="L10:O10"/>
    <mergeCell ref="Y10:AB10"/>
    <mergeCell ref="H10:K10"/>
    <mergeCell ref="U10:X10"/>
    <mergeCell ref="S103:T103"/>
    <mergeCell ref="U103:X103"/>
    <mergeCell ref="F103:G103"/>
    <mergeCell ref="H103:K103"/>
    <mergeCell ref="L103:O103"/>
    <mergeCell ref="B11:C11"/>
    <mergeCell ref="F10:G10"/>
    <mergeCell ref="R4:S4"/>
    <mergeCell ref="R5:S5"/>
    <mergeCell ref="R6:S6"/>
    <mergeCell ref="B9:C9"/>
    <mergeCell ref="B10:C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75679-EAFB-42B1-A81F-9DADA990E39C}">
  <dimension ref="A1:BN143"/>
  <sheetViews>
    <sheetView zoomScaleNormal="100" workbookViewId="0">
      <selection activeCell="B19" sqref="B19"/>
    </sheetView>
  </sheetViews>
  <sheetFormatPr defaultRowHeight="18" customHeight="1"/>
  <cols>
    <col min="1" max="1" width="28.28515625" customWidth="1"/>
    <col min="2" max="2" width="14.42578125" customWidth="1"/>
    <col min="16" max="71" width="3.42578125" customWidth="1"/>
  </cols>
  <sheetData>
    <row r="1" spans="1:49" ht="18" customHeight="1">
      <c r="A1" s="503" t="s">
        <v>722</v>
      </c>
      <c r="B1" s="614">
        <v>4</v>
      </c>
      <c r="C1" s="465" t="s">
        <v>706</v>
      </c>
      <c r="D1" s="466" t="s">
        <v>826</v>
      </c>
      <c r="E1" s="466" t="s">
        <v>728</v>
      </c>
      <c r="F1" s="467" t="s">
        <v>725</v>
      </c>
      <c r="G1" s="467" t="s">
        <v>729</v>
      </c>
      <c r="H1" s="467" t="s">
        <v>729</v>
      </c>
      <c r="I1" s="467" t="s">
        <v>828</v>
      </c>
      <c r="J1" s="467" t="s">
        <v>731</v>
      </c>
      <c r="K1" s="468" t="s">
        <v>827</v>
      </c>
      <c r="L1" s="468" t="s">
        <v>733</v>
      </c>
      <c r="M1" s="473" t="s">
        <v>829</v>
      </c>
      <c r="N1" s="473" t="s">
        <v>732</v>
      </c>
      <c r="O1" s="482" t="s">
        <v>739</v>
      </c>
      <c r="P1" s="487"/>
      <c r="Q1" s="94"/>
      <c r="R1" s="525" t="s">
        <v>825</v>
      </c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</row>
    <row r="2" spans="1:49" ht="18" customHeight="1" thickBot="1">
      <c r="A2" s="504" t="s">
        <v>830</v>
      </c>
      <c r="B2" s="615">
        <v>1</v>
      </c>
      <c r="C2" s="469" t="s">
        <v>148</v>
      </c>
      <c r="D2" s="387" t="s">
        <v>727</v>
      </c>
      <c r="E2" s="387" t="s">
        <v>727</v>
      </c>
      <c r="F2" s="470" t="s">
        <v>148</v>
      </c>
      <c r="G2" s="470" t="s">
        <v>727</v>
      </c>
      <c r="H2" s="470" t="s">
        <v>730</v>
      </c>
      <c r="I2" s="470" t="s">
        <v>727</v>
      </c>
      <c r="J2" s="470" t="s">
        <v>727</v>
      </c>
      <c r="K2" s="470" t="s">
        <v>727</v>
      </c>
      <c r="L2" s="470" t="s">
        <v>727</v>
      </c>
      <c r="M2" s="474" t="s">
        <v>724</v>
      </c>
      <c r="N2" s="474" t="s">
        <v>724</v>
      </c>
      <c r="O2" s="483"/>
      <c r="P2" s="46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</row>
    <row r="3" spans="1:49" ht="18" customHeight="1" thickBot="1">
      <c r="A3" s="505" t="s">
        <v>709</v>
      </c>
      <c r="B3" s="616">
        <v>1</v>
      </c>
      <c r="C3" s="442">
        <v>2</v>
      </c>
      <c r="D3" s="457">
        <f>($B$10/12*(C3+$B$5/12)-$B$6)*$B$14</f>
        <v>4.3488159937888184</v>
      </c>
      <c r="E3" s="457">
        <f>D3+$B$8/12*$B$11/12*$B$14</f>
        <v>4.5055659937888182</v>
      </c>
      <c r="F3" s="329">
        <f t="shared" ref="F3:F34" si="0">IF($C3&lt;$B$26,$B$22/12+1.15*$C3,$B$22/12+1.15*$C3+$B$24)</f>
        <v>3.1333333333333333</v>
      </c>
      <c r="G3" s="329">
        <f t="shared" ref="G3:G34" si="1">IF($C3&lt;$B$26,$B$27*$B$20/F3,2*$B$27*$B$20/F3)</f>
        <v>6.1276595744680851</v>
      </c>
      <c r="H3" s="329">
        <f t="shared" ref="H3:H34" si="2">IF(F3&lt;$B$10/12,G3*F3,G3*$B$10/12)</f>
        <v>19.2</v>
      </c>
      <c r="I3" s="329">
        <f t="shared" ref="I3:I34" si="3">IF(C3+$B$5/12&lt;$B$25,H3/($B$21/12+1.15*(C3+$B$5/12)),2*H3/($B$21/12+$B$23+1.15*(C3+$B$5/12)))</f>
        <v>2.4507379337854007</v>
      </c>
      <c r="J3" s="329">
        <f t="shared" ref="J3:J34" si="4">IF(C3+$B$5/12+$B$8/12&lt;$B$25,H3/($B$21/12+1.15*(C3+$B$5/12+$B$8/12)),2*H3/($B$21/12+$B$23+1.15*(C3+$B$5/12+$B$8/12)))</f>
        <v>2.3228733459357276</v>
      </c>
      <c r="K3" s="329">
        <f>D3+I3</f>
        <v>6.7995539275742196</v>
      </c>
      <c r="L3" s="329">
        <f>E3+J3</f>
        <v>6.8284393397245458</v>
      </c>
      <c r="M3" s="475">
        <f t="shared" ref="M3:M34" si="5">K3/($B$11/12)</f>
        <v>3.9040501019564902</v>
      </c>
      <c r="N3" s="475">
        <f>L3/($B$12/12)</f>
        <v>2.6221207064542256</v>
      </c>
      <c r="O3" s="484" t="str">
        <f>IF(AND(M3&lt;=$B$17,N3&lt;=$B$18),"YES","NO")</f>
        <v>YES</v>
      </c>
      <c r="P3" s="464" t="str">
        <f>IF(AND(O3="YES",O4="NO"),C3,"")</f>
        <v/>
      </c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</row>
    <row r="4" spans="1:49" ht="18" customHeight="1">
      <c r="A4" s="445" t="s">
        <v>707</v>
      </c>
      <c r="B4" s="446">
        <f>VLOOKUP(B1,Data!B4:O7,6)</f>
        <v>100.5</v>
      </c>
      <c r="C4" s="443">
        <v>2.1</v>
      </c>
      <c r="D4" s="458">
        <f t="shared" ref="D4:D34" si="6">($B$10/12*(C4+$B$5/12)-$B$6)*$B$14</f>
        <v>4.458315993788819</v>
      </c>
      <c r="E4" s="458">
        <f t="shared" ref="E4:E67" si="7">D4+$B$8/12*$B$11/12*$B$14</f>
        <v>4.6150659937888188</v>
      </c>
      <c r="F4" s="335">
        <f t="shared" si="0"/>
        <v>3.2483333333333335</v>
      </c>
      <c r="G4" s="335">
        <f t="shared" si="1"/>
        <v>5.9107234479220105</v>
      </c>
      <c r="H4" s="335">
        <f t="shared" si="2"/>
        <v>19.2</v>
      </c>
      <c r="I4" s="335">
        <f t="shared" si="3"/>
        <v>2.4328819196958893</v>
      </c>
      <c r="J4" s="335">
        <f t="shared" si="4"/>
        <v>2.3068258616805588</v>
      </c>
      <c r="K4" s="335">
        <f t="shared" ref="K4:K67" si="8">D4+I4</f>
        <v>6.8911979134847083</v>
      </c>
      <c r="L4" s="335">
        <f t="shared" ref="L4:L67" si="9">E4+J4</f>
        <v>6.9218918554693776</v>
      </c>
      <c r="M4" s="476">
        <f t="shared" si="5"/>
        <v>3.9566686584601198</v>
      </c>
      <c r="N4" s="476">
        <f t="shared" ref="N4:N67" si="10">L4/($B$12/12)</f>
        <v>2.658006472500241</v>
      </c>
      <c r="O4" s="485" t="str">
        <f t="shared" ref="O4:O67" si="11">IF(AND(M4&lt;=$B$17,N4&lt;=$B$18),"YES","NO")</f>
        <v>YES</v>
      </c>
      <c r="P4" s="488" t="str">
        <f t="shared" ref="P4:P67" si="12">IF(AND(O4="YES",O5="NO"),C4,"")</f>
        <v/>
      </c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</row>
    <row r="5" spans="1:49" ht="18" customHeight="1">
      <c r="A5" s="447" t="s">
        <v>710</v>
      </c>
      <c r="B5" s="448">
        <f>VLOOKUP(B1,Data!B4:O7,7)</f>
        <v>59.5</v>
      </c>
      <c r="C5" s="443">
        <v>2.2000000000000002</v>
      </c>
      <c r="D5" s="458">
        <f t="shared" si="6"/>
        <v>4.5678159937888188</v>
      </c>
      <c r="E5" s="458">
        <f t="shared" si="7"/>
        <v>4.7245659937888185</v>
      </c>
      <c r="F5" s="335">
        <f t="shared" si="0"/>
        <v>3.3633333333333333</v>
      </c>
      <c r="G5" s="335">
        <f t="shared" si="1"/>
        <v>5.7086223984142714</v>
      </c>
      <c r="H5" s="335">
        <f t="shared" si="2"/>
        <v>19.2</v>
      </c>
      <c r="I5" s="335">
        <f t="shared" si="3"/>
        <v>2.4152842204575831</v>
      </c>
      <c r="J5" s="335">
        <f t="shared" si="4"/>
        <v>2.2909985830412407</v>
      </c>
      <c r="K5" s="335">
        <f t="shared" si="8"/>
        <v>6.9831002142464023</v>
      </c>
      <c r="L5" s="335">
        <f t="shared" si="9"/>
        <v>7.0155645768300587</v>
      </c>
      <c r="M5" s="476">
        <f t="shared" si="5"/>
        <v>4.0094355297108537</v>
      </c>
      <c r="N5" s="476">
        <f t="shared" si="10"/>
        <v>2.6939767975027427</v>
      </c>
      <c r="O5" s="485" t="str">
        <f t="shared" si="11"/>
        <v>YES</v>
      </c>
      <c r="P5" s="488" t="str">
        <f t="shared" si="12"/>
        <v/>
      </c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</row>
    <row r="6" spans="1:49" ht="18" customHeight="1">
      <c r="A6" s="447" t="s">
        <v>711</v>
      </c>
      <c r="B6" s="448">
        <f>VLOOKUP(B1,Data!B4:O7,3)/(VLOOKUP(B1,Data!B4:O7,4)/12)</f>
        <v>27.254658385093173</v>
      </c>
      <c r="C6" s="443">
        <v>2.2999999999999998</v>
      </c>
      <c r="D6" s="458">
        <f t="shared" si="6"/>
        <v>4.6773159937888193</v>
      </c>
      <c r="E6" s="458">
        <f t="shared" si="7"/>
        <v>4.8340659937888191</v>
      </c>
      <c r="F6" s="335">
        <f t="shared" si="0"/>
        <v>3.4783333333333331</v>
      </c>
      <c r="G6" s="335">
        <f t="shared" si="1"/>
        <v>5.5198850023957835</v>
      </c>
      <c r="H6" s="335">
        <f t="shared" si="2"/>
        <v>19.2</v>
      </c>
      <c r="I6" s="335">
        <f t="shared" si="3"/>
        <v>2.397939270939037</v>
      </c>
      <c r="J6" s="335">
        <f t="shared" si="4"/>
        <v>2.2753870083697505</v>
      </c>
      <c r="K6" s="335">
        <f t="shared" si="8"/>
        <v>7.0752552647278559</v>
      </c>
      <c r="L6" s="335">
        <f t="shared" si="9"/>
        <v>7.1094530021585696</v>
      </c>
      <c r="M6" s="476">
        <f t="shared" si="5"/>
        <v>4.0623475204179078</v>
      </c>
      <c r="N6" s="476">
        <f t="shared" si="10"/>
        <v>2.7300299528288909</v>
      </c>
      <c r="O6" s="485" t="str">
        <f t="shared" si="11"/>
        <v>YES</v>
      </c>
      <c r="P6" s="488" t="str">
        <f t="shared" si="12"/>
        <v/>
      </c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</row>
    <row r="7" spans="1:49" ht="18" customHeight="1">
      <c r="A7" s="447" t="s">
        <v>708</v>
      </c>
      <c r="B7" s="448">
        <f>VLOOKUP(B1,Data!B4:O7,14)</f>
        <v>5.95</v>
      </c>
      <c r="C7" s="443">
        <v>2.4</v>
      </c>
      <c r="D7" s="458">
        <f t="shared" si="6"/>
        <v>4.7868159937888191</v>
      </c>
      <c r="E7" s="458">
        <f t="shared" si="7"/>
        <v>4.9435659937888188</v>
      </c>
      <c r="F7" s="335">
        <f t="shared" si="0"/>
        <v>3.5933333333333333</v>
      </c>
      <c r="G7" s="335">
        <f t="shared" si="1"/>
        <v>5.3432282003710574</v>
      </c>
      <c r="H7" s="335">
        <f t="shared" si="2"/>
        <v>19.2</v>
      </c>
      <c r="I7" s="335">
        <f t="shared" si="3"/>
        <v>2.3808416647291328</v>
      </c>
      <c r="J7" s="335">
        <f t="shared" si="4"/>
        <v>2.2599867578900907</v>
      </c>
      <c r="K7" s="335">
        <f t="shared" si="8"/>
        <v>7.1676576585179514</v>
      </c>
      <c r="L7" s="335">
        <f t="shared" si="9"/>
        <v>7.2035527516789095</v>
      </c>
      <c r="M7" s="476">
        <f t="shared" si="5"/>
        <v>4.1154015264217909</v>
      </c>
      <c r="N7" s="476">
        <f t="shared" si="10"/>
        <v>2.7661642566447013</v>
      </c>
      <c r="O7" s="485" t="str">
        <f t="shared" si="11"/>
        <v>YES</v>
      </c>
      <c r="P7" s="488" t="str">
        <f t="shared" si="12"/>
        <v/>
      </c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</row>
    <row r="8" spans="1:49" ht="18" customHeight="1">
      <c r="A8" s="447" t="s">
        <v>830</v>
      </c>
      <c r="B8" s="448">
        <f>IF(B2=1,VLOOKUP(B1,Data!B4:O7,10),B2-1)</f>
        <v>9</v>
      </c>
      <c r="C8" s="443">
        <v>2.5</v>
      </c>
      <c r="D8" s="458">
        <f t="shared" si="6"/>
        <v>4.8963159937888179</v>
      </c>
      <c r="E8" s="458">
        <f t="shared" si="7"/>
        <v>5.0530659937888176</v>
      </c>
      <c r="F8" s="335">
        <f t="shared" si="0"/>
        <v>3.7083333333333335</v>
      </c>
      <c r="G8" s="335">
        <f t="shared" si="1"/>
        <v>5.1775280898876401</v>
      </c>
      <c r="H8" s="335">
        <f t="shared" si="2"/>
        <v>19.2</v>
      </c>
      <c r="I8" s="335">
        <f t="shared" si="3"/>
        <v>2.3639861485186611</v>
      </c>
      <c r="J8" s="335">
        <f t="shared" si="4"/>
        <v>2.2447935696017538</v>
      </c>
      <c r="K8" s="335">
        <f t="shared" si="8"/>
        <v>7.2603021423074789</v>
      </c>
      <c r="L8" s="335">
        <f t="shared" si="9"/>
        <v>7.2978595633905714</v>
      </c>
      <c r="M8" s="476">
        <f t="shared" si="5"/>
        <v>4.1685945314684094</v>
      </c>
      <c r="N8" s="476">
        <f t="shared" si="10"/>
        <v>2.8023780723419796</v>
      </c>
      <c r="O8" s="485" t="str">
        <f t="shared" si="11"/>
        <v>YES</v>
      </c>
      <c r="P8" s="488" t="str">
        <f t="shared" si="12"/>
        <v/>
      </c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</row>
    <row r="9" spans="1:49" ht="18" customHeight="1">
      <c r="A9" s="447" t="s">
        <v>709</v>
      </c>
      <c r="B9" s="448">
        <f>IF(B3=1,VLOOKUP(B1,Data!B4:O7,8),B3-1)</f>
        <v>9</v>
      </c>
      <c r="C9" s="443">
        <v>2.6</v>
      </c>
      <c r="D9" s="458">
        <f t="shared" si="6"/>
        <v>5.0058159937888194</v>
      </c>
      <c r="E9" s="458">
        <f t="shared" si="7"/>
        <v>5.1625659937888191</v>
      </c>
      <c r="F9" s="335">
        <f t="shared" si="0"/>
        <v>3.8233333333333333</v>
      </c>
      <c r="G9" s="335">
        <f t="shared" si="1"/>
        <v>5.0217959895379254</v>
      </c>
      <c r="H9" s="335">
        <f t="shared" si="2"/>
        <v>19.2</v>
      </c>
      <c r="I9" s="335">
        <f t="shared" si="3"/>
        <v>2.3473676167188811</v>
      </c>
      <c r="J9" s="335">
        <f t="shared" si="4"/>
        <v>2.2298032953473177</v>
      </c>
      <c r="K9" s="335">
        <f t="shared" si="8"/>
        <v>7.3531836105077009</v>
      </c>
      <c r="L9" s="335">
        <f t="shared" si="9"/>
        <v>7.3923692891361368</v>
      </c>
      <c r="M9" s="476">
        <f t="shared" si="5"/>
        <v>4.2219236041192545</v>
      </c>
      <c r="N9" s="476">
        <f t="shared" si="10"/>
        <v>2.8386698070282765</v>
      </c>
      <c r="O9" s="485" t="str">
        <f t="shared" si="11"/>
        <v>YES</v>
      </c>
      <c r="P9" s="488" t="str">
        <f t="shared" si="12"/>
        <v/>
      </c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</row>
    <row r="10" spans="1:49" ht="18" customHeight="1">
      <c r="A10" s="471" t="s">
        <v>726</v>
      </c>
      <c r="B10" s="472">
        <f>B4+B9</f>
        <v>109.5</v>
      </c>
      <c r="C10" s="443">
        <v>2.7</v>
      </c>
      <c r="D10" s="458">
        <f t="shared" si="6"/>
        <v>5.1153159937888182</v>
      </c>
      <c r="E10" s="458">
        <f t="shared" si="7"/>
        <v>5.2720659937888179</v>
      </c>
      <c r="F10" s="335">
        <f t="shared" si="0"/>
        <v>3.9383333333333335</v>
      </c>
      <c r="G10" s="335">
        <f t="shared" si="1"/>
        <v>4.8751586965721536</v>
      </c>
      <c r="H10" s="335">
        <f t="shared" si="2"/>
        <v>19.2</v>
      </c>
      <c r="I10" s="335">
        <f t="shared" si="3"/>
        <v>2.3309811063054862</v>
      </c>
      <c r="J10" s="335">
        <f t="shared" si="4"/>
        <v>2.2150118970365562</v>
      </c>
      <c r="K10" s="335">
        <f t="shared" si="8"/>
        <v>7.4462971000943039</v>
      </c>
      <c r="L10" s="335">
        <f t="shared" si="9"/>
        <v>7.4870778908253737</v>
      </c>
      <c r="M10" s="476">
        <f t="shared" si="5"/>
        <v>4.275385894790988</v>
      </c>
      <c r="N10" s="476">
        <f t="shared" si="10"/>
        <v>2.8750379100769439</v>
      </c>
      <c r="O10" s="485" t="str">
        <f t="shared" si="11"/>
        <v>YES</v>
      </c>
      <c r="P10" s="488" t="str">
        <f t="shared" si="12"/>
        <v/>
      </c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</row>
    <row r="11" spans="1:49" ht="18" customHeight="1">
      <c r="A11" s="447" t="s">
        <v>831</v>
      </c>
      <c r="B11" s="448">
        <f>2*B7+B9</f>
        <v>20.9</v>
      </c>
      <c r="C11" s="443">
        <v>2.8</v>
      </c>
      <c r="D11" s="458">
        <f t="shared" si="6"/>
        <v>5.2248159937888197</v>
      </c>
      <c r="E11" s="458">
        <f t="shared" si="7"/>
        <v>5.3815659937888194</v>
      </c>
      <c r="F11" s="335">
        <f t="shared" si="0"/>
        <v>4.0533333333333328</v>
      </c>
      <c r="G11" s="335">
        <f t="shared" si="1"/>
        <v>4.7368421052631584</v>
      </c>
      <c r="H11" s="335">
        <f t="shared" si="2"/>
        <v>19.2</v>
      </c>
      <c r="I11" s="335">
        <f t="shared" si="3"/>
        <v>2.3148217918770255</v>
      </c>
      <c r="J11" s="335">
        <f t="shared" si="4"/>
        <v>2.2004154430198413</v>
      </c>
      <c r="K11" s="335">
        <f t="shared" si="8"/>
        <v>7.5396377856658452</v>
      </c>
      <c r="L11" s="335">
        <f t="shared" si="9"/>
        <v>7.5819814368086611</v>
      </c>
      <c r="M11" s="476">
        <f t="shared" si="5"/>
        <v>4.3289786329181892</v>
      </c>
      <c r="N11" s="476">
        <f t="shared" si="10"/>
        <v>2.911480871734526</v>
      </c>
      <c r="O11" s="485" t="str">
        <f t="shared" si="11"/>
        <v>YES</v>
      </c>
      <c r="P11" s="488" t="str">
        <f t="shared" si="12"/>
        <v/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</row>
    <row r="12" spans="1:49" ht="18" customHeight="1" thickBot="1">
      <c r="A12" s="447" t="s">
        <v>738</v>
      </c>
      <c r="B12" s="448">
        <f>B11+1.15*B8</f>
        <v>31.25</v>
      </c>
      <c r="C12" s="443">
        <v>2.9</v>
      </c>
      <c r="D12" s="458">
        <f t="shared" si="6"/>
        <v>5.3343159937888185</v>
      </c>
      <c r="E12" s="458">
        <f t="shared" si="7"/>
        <v>5.4910659937888182</v>
      </c>
      <c r="F12" s="335">
        <f t="shared" si="0"/>
        <v>4.168333333333333</v>
      </c>
      <c r="G12" s="335">
        <f t="shared" si="1"/>
        <v>4.6061575369852061</v>
      </c>
      <c r="H12" s="335">
        <f t="shared" si="2"/>
        <v>19.2</v>
      </c>
      <c r="I12" s="335">
        <f t="shared" si="3"/>
        <v>2.2988849809174585</v>
      </c>
      <c r="J12" s="335">
        <f t="shared" si="4"/>
        <v>2.1860101046039992</v>
      </c>
      <c r="K12" s="335">
        <f t="shared" si="8"/>
        <v>7.633200974706277</v>
      </c>
      <c r="L12" s="335">
        <f t="shared" si="9"/>
        <v>7.677076098392817</v>
      </c>
      <c r="M12" s="476">
        <f t="shared" si="5"/>
        <v>4.3826991242332696</v>
      </c>
      <c r="N12" s="476">
        <f t="shared" si="10"/>
        <v>2.9479972217828418</v>
      </c>
      <c r="O12" s="485" t="str">
        <f t="shared" si="11"/>
        <v>YES</v>
      </c>
      <c r="P12" s="488" t="str">
        <f t="shared" si="12"/>
        <v/>
      </c>
      <c r="Q12" s="117"/>
      <c r="R12" s="117"/>
      <c r="S12" s="863" t="s">
        <v>819</v>
      </c>
      <c r="T12" s="863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</row>
    <row r="13" spans="1:49" ht="18" customHeight="1" thickBot="1">
      <c r="A13" s="880" t="s">
        <v>735</v>
      </c>
      <c r="B13" s="881"/>
      <c r="C13" s="443">
        <v>3</v>
      </c>
      <c r="D13" s="458">
        <f t="shared" si="6"/>
        <v>5.4438159937888182</v>
      </c>
      <c r="E13" s="458">
        <f t="shared" si="7"/>
        <v>5.6005659937888179</v>
      </c>
      <c r="F13" s="335">
        <f t="shared" si="0"/>
        <v>4.2833333333333332</v>
      </c>
      <c r="G13" s="335">
        <f t="shared" si="1"/>
        <v>4.4824902723735409</v>
      </c>
      <c r="H13" s="335">
        <f t="shared" si="2"/>
        <v>19.2</v>
      </c>
      <c r="I13" s="335">
        <f t="shared" si="3"/>
        <v>2.2831661092530662</v>
      </c>
      <c r="J13" s="335">
        <f t="shared" si="4"/>
        <v>2.1717921527041359</v>
      </c>
      <c r="K13" s="335">
        <f t="shared" si="8"/>
        <v>7.7269821030418839</v>
      </c>
      <c r="L13" s="335">
        <f t="shared" si="9"/>
        <v>7.7723581464929534</v>
      </c>
      <c r="M13" s="476">
        <f t="shared" si="5"/>
        <v>4.4365447481580196</v>
      </c>
      <c r="N13" s="476">
        <f t="shared" si="10"/>
        <v>2.9845855282532945</v>
      </c>
      <c r="O13" s="485" t="str">
        <f t="shared" si="11"/>
        <v>YES</v>
      </c>
      <c r="P13" s="488" t="str">
        <f t="shared" si="12"/>
        <v/>
      </c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</row>
    <row r="14" spans="1:49" ht="18" customHeight="1">
      <c r="A14" s="498" t="s">
        <v>712</v>
      </c>
      <c r="B14" s="499">
        <v>0.12</v>
      </c>
      <c r="C14" s="443">
        <v>3.1</v>
      </c>
      <c r="D14" s="458">
        <f t="shared" si="6"/>
        <v>5.5533159937888188</v>
      </c>
      <c r="E14" s="458">
        <f t="shared" si="7"/>
        <v>5.7100659937888185</v>
      </c>
      <c r="F14" s="335">
        <f t="shared" si="0"/>
        <v>4.3983333333333334</v>
      </c>
      <c r="G14" s="335">
        <f t="shared" si="1"/>
        <v>4.3652898825312612</v>
      </c>
      <c r="H14" s="335">
        <f t="shared" si="2"/>
        <v>19.199999999999996</v>
      </c>
      <c r="I14" s="335">
        <f t="shared" si="3"/>
        <v>2.2676607366944705</v>
      </c>
      <c r="J14" s="335">
        <f t="shared" si="4"/>
        <v>2.1577579546252714</v>
      </c>
      <c r="K14" s="335">
        <f t="shared" si="8"/>
        <v>7.8209767304832898</v>
      </c>
      <c r="L14" s="335">
        <f t="shared" si="9"/>
        <v>7.8678239484140899</v>
      </c>
      <c r="M14" s="476">
        <f t="shared" si="5"/>
        <v>4.4905129553014111</v>
      </c>
      <c r="N14" s="476">
        <f t="shared" si="10"/>
        <v>3.0212443961910109</v>
      </c>
      <c r="O14" s="485" t="str">
        <f t="shared" si="11"/>
        <v>YES</v>
      </c>
      <c r="P14" s="488" t="str">
        <f t="shared" si="12"/>
        <v/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</row>
    <row r="15" spans="1:49" ht="18" customHeight="1">
      <c r="A15" s="500" t="s">
        <v>736</v>
      </c>
      <c r="B15" s="479">
        <v>28</v>
      </c>
      <c r="C15" s="443">
        <v>3.2</v>
      </c>
      <c r="D15" s="458">
        <f t="shared" si="6"/>
        <v>5.6628159937888185</v>
      </c>
      <c r="E15" s="458">
        <f t="shared" si="7"/>
        <v>5.8195659937888182</v>
      </c>
      <c r="F15" s="335">
        <f t="shared" si="0"/>
        <v>4.5133333333333328</v>
      </c>
      <c r="G15" s="335">
        <f t="shared" si="1"/>
        <v>4.2540620384047267</v>
      </c>
      <c r="H15" s="335">
        <f t="shared" si="2"/>
        <v>19.2</v>
      </c>
      <c r="I15" s="335">
        <f t="shared" si="3"/>
        <v>2.2523645428550481</v>
      </c>
      <c r="J15" s="335">
        <f t="shared" si="4"/>
        <v>2.1439039709679673</v>
      </c>
      <c r="K15" s="335">
        <f t="shared" si="8"/>
        <v>7.9151805366438666</v>
      </c>
      <c r="L15" s="335">
        <f t="shared" si="9"/>
        <v>7.9634699647567855</v>
      </c>
      <c r="M15" s="476">
        <f t="shared" si="5"/>
        <v>4.54460126505868</v>
      </c>
      <c r="N15" s="476">
        <f t="shared" si="10"/>
        <v>3.0579724664666057</v>
      </c>
      <c r="O15" s="485" t="str">
        <f t="shared" si="11"/>
        <v>YES</v>
      </c>
      <c r="P15" s="488" t="str">
        <f t="shared" si="12"/>
        <v/>
      </c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</row>
    <row r="16" spans="1:49" ht="18" customHeight="1" thickBot="1">
      <c r="A16" s="478" t="s">
        <v>761</v>
      </c>
      <c r="B16" s="501">
        <v>3</v>
      </c>
      <c r="C16" s="443">
        <v>3.3</v>
      </c>
      <c r="D16" s="458">
        <f t="shared" si="6"/>
        <v>5.7723159937888191</v>
      </c>
      <c r="E16" s="458">
        <f t="shared" si="7"/>
        <v>5.9290659937888188</v>
      </c>
      <c r="F16" s="335">
        <f t="shared" si="0"/>
        <v>4.628333333333333</v>
      </c>
      <c r="G16" s="335">
        <f t="shared" si="1"/>
        <v>4.1483615412315453</v>
      </c>
      <c r="H16" s="335">
        <f t="shared" si="2"/>
        <v>19.2</v>
      </c>
      <c r="I16" s="335">
        <f t="shared" si="3"/>
        <v>2.2372733231374262</v>
      </c>
      <c r="J16" s="335">
        <f t="shared" si="4"/>
        <v>2.1302267526523821</v>
      </c>
      <c r="K16" s="335">
        <f t="shared" si="8"/>
        <v>8.0095893169262453</v>
      </c>
      <c r="L16" s="335">
        <f t="shared" si="9"/>
        <v>8.0592927464412014</v>
      </c>
      <c r="M16" s="476">
        <f t="shared" si="5"/>
        <v>4.5988072633069352</v>
      </c>
      <c r="N16" s="476">
        <f t="shared" si="10"/>
        <v>3.0947684146334216</v>
      </c>
      <c r="O16" s="485" t="str">
        <f t="shared" si="11"/>
        <v>YES</v>
      </c>
      <c r="P16" s="488" t="str">
        <f t="shared" si="12"/>
        <v/>
      </c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</row>
    <row r="17" spans="1:49" ht="18" customHeight="1" thickBot="1">
      <c r="A17" s="478" t="s">
        <v>832</v>
      </c>
      <c r="B17" s="502">
        <f>B15/B16</f>
        <v>9.3333333333333339</v>
      </c>
      <c r="C17" s="443">
        <v>3.4000000000000004</v>
      </c>
      <c r="D17" s="458">
        <f t="shared" si="6"/>
        <v>5.8818159937888206</v>
      </c>
      <c r="E17" s="458">
        <f t="shared" si="7"/>
        <v>6.0385659937888203</v>
      </c>
      <c r="F17" s="335">
        <f t="shared" si="0"/>
        <v>4.7433333333333332</v>
      </c>
      <c r="G17" s="335">
        <f t="shared" si="1"/>
        <v>4.0477863668306391</v>
      </c>
      <c r="H17" s="335">
        <f t="shared" si="2"/>
        <v>19.199999999999996</v>
      </c>
      <c r="I17" s="335">
        <f t="shared" si="3"/>
        <v>2.2223829848802712</v>
      </c>
      <c r="J17" s="335">
        <f t="shared" si="4"/>
        <v>2.1167229380555361</v>
      </c>
      <c r="K17" s="335">
        <f t="shared" si="8"/>
        <v>8.1041989786690927</v>
      </c>
      <c r="L17" s="335">
        <f t="shared" si="9"/>
        <v>8.1552889318443569</v>
      </c>
      <c r="M17" s="476">
        <f t="shared" si="5"/>
        <v>4.6531286001927814</v>
      </c>
      <c r="N17" s="476">
        <f t="shared" si="10"/>
        <v>3.1316309498282333</v>
      </c>
      <c r="O17" s="485" t="str">
        <f t="shared" si="11"/>
        <v>YES</v>
      </c>
      <c r="P17" s="488" t="str">
        <f t="shared" si="12"/>
        <v/>
      </c>
      <c r="Q17" s="117"/>
      <c r="R17" s="495" t="s">
        <v>758</v>
      </c>
      <c r="S17" s="496"/>
      <c r="T17" s="496"/>
      <c r="U17" s="496"/>
      <c r="V17" s="496"/>
      <c r="W17" s="496"/>
      <c r="X17" s="496"/>
      <c r="Y17" s="496"/>
      <c r="Z17" s="497"/>
      <c r="AA17" s="883">
        <v>7</v>
      </c>
      <c r="AB17" s="884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</row>
    <row r="18" spans="1:49" ht="18" customHeight="1" thickBot="1">
      <c r="A18" s="480" t="s">
        <v>737</v>
      </c>
      <c r="B18" s="481">
        <v>4</v>
      </c>
      <c r="C18" s="443">
        <v>3.5</v>
      </c>
      <c r="D18" s="458">
        <f t="shared" si="6"/>
        <v>5.9913159937888176</v>
      </c>
      <c r="E18" s="458">
        <f t="shared" si="7"/>
        <v>6.1480659937888174</v>
      </c>
      <c r="F18" s="335">
        <f t="shared" si="0"/>
        <v>4.8583333333333325</v>
      </c>
      <c r="G18" s="335">
        <f t="shared" si="1"/>
        <v>3.9519725557461411</v>
      </c>
      <c r="H18" s="335">
        <f t="shared" si="2"/>
        <v>19.2</v>
      </c>
      <c r="I18" s="335">
        <f t="shared" si="3"/>
        <v>2.2076895436579234</v>
      </c>
      <c r="J18" s="335">
        <f t="shared" si="4"/>
        <v>2.1033892502567615</v>
      </c>
      <c r="K18" s="335">
        <f t="shared" si="8"/>
        <v>8.199005537446741</v>
      </c>
      <c r="L18" s="335">
        <f t="shared" si="9"/>
        <v>8.2514552440455784</v>
      </c>
      <c r="M18" s="476">
        <f t="shared" si="5"/>
        <v>4.707562988007699</v>
      </c>
      <c r="N18" s="476">
        <f t="shared" si="10"/>
        <v>3.1685588137135023</v>
      </c>
      <c r="O18" s="485" t="str">
        <f t="shared" si="11"/>
        <v>YES</v>
      </c>
      <c r="P18" s="488" t="str">
        <f t="shared" si="12"/>
        <v/>
      </c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</row>
    <row r="19" spans="1:49" ht="18" customHeight="1" thickBot="1">
      <c r="A19" s="461" t="s">
        <v>721</v>
      </c>
      <c r="B19" s="617">
        <v>1</v>
      </c>
      <c r="C19" s="443">
        <v>3.6</v>
      </c>
      <c r="D19" s="458">
        <f t="shared" si="6"/>
        <v>6.1008159937888191</v>
      </c>
      <c r="E19" s="458">
        <f t="shared" si="7"/>
        <v>6.2575659937888188</v>
      </c>
      <c r="F19" s="335">
        <f t="shared" si="0"/>
        <v>4.9733333333333327</v>
      </c>
      <c r="G19" s="335">
        <f t="shared" si="1"/>
        <v>3.86058981233244</v>
      </c>
      <c r="H19" s="335">
        <f t="shared" si="2"/>
        <v>19.2</v>
      </c>
      <c r="I19" s="335">
        <f t="shared" si="3"/>
        <v>2.1931891197258513</v>
      </c>
      <c r="J19" s="335">
        <f t="shared" si="4"/>
        <v>2.0902224943866092</v>
      </c>
      <c r="K19" s="335">
        <f t="shared" si="8"/>
        <v>8.29400511351467</v>
      </c>
      <c r="L19" s="335">
        <f t="shared" si="9"/>
        <v>8.3477884881754285</v>
      </c>
      <c r="M19" s="476">
        <f t="shared" si="5"/>
        <v>4.7621081991471792</v>
      </c>
      <c r="N19" s="476">
        <f t="shared" si="10"/>
        <v>3.2055507794593647</v>
      </c>
      <c r="O19" s="485" t="str">
        <f t="shared" si="11"/>
        <v>YES</v>
      </c>
      <c r="P19" s="488" t="str">
        <f t="shared" si="12"/>
        <v/>
      </c>
      <c r="Q19" s="886" t="s">
        <v>722</v>
      </c>
      <c r="R19" s="886"/>
      <c r="S19" s="886"/>
      <c r="T19" s="886"/>
      <c r="U19" s="886"/>
      <c r="V19" s="886"/>
      <c r="W19" s="886"/>
      <c r="X19" s="892" t="str">
        <f>VLOOKUP(B1,Data!B4:C7,2)</f>
        <v>SK290</v>
      </c>
      <c r="Y19" s="892"/>
      <c r="Z19" s="357"/>
      <c r="AA19" s="357"/>
      <c r="AB19" s="886" t="s">
        <v>760</v>
      </c>
      <c r="AC19" s="886"/>
      <c r="AD19" s="886"/>
      <c r="AE19" s="886"/>
      <c r="AF19" s="886"/>
      <c r="AG19" s="886"/>
      <c r="AH19" s="886"/>
      <c r="AI19" s="886"/>
      <c r="AJ19" s="357"/>
      <c r="AK19" s="357"/>
      <c r="AL19" s="507" t="s">
        <v>721</v>
      </c>
      <c r="AM19" s="507"/>
      <c r="AN19" s="507"/>
      <c r="AO19" s="507"/>
      <c r="AP19" s="507"/>
      <c r="AQ19" s="507"/>
      <c r="AR19" s="508" t="str">
        <f>VLOOKUP(B19,Data!Q4:S6,2)</f>
        <v>HL93 Truck</v>
      </c>
      <c r="AS19" s="507"/>
      <c r="AT19" s="508"/>
      <c r="AU19" s="357"/>
      <c r="AV19" s="357"/>
      <c r="AW19" s="357"/>
    </row>
    <row r="20" spans="1:49" ht="18" customHeight="1">
      <c r="A20" s="451" t="s">
        <v>713</v>
      </c>
      <c r="B20" s="450">
        <f>VLOOKUP(B19,Data!Q4:T6,4)/2</f>
        <v>16</v>
      </c>
      <c r="C20" s="443">
        <v>3.7</v>
      </c>
      <c r="D20" s="458">
        <f t="shared" si="6"/>
        <v>6.2103159937888179</v>
      </c>
      <c r="E20" s="458">
        <f t="shared" si="7"/>
        <v>6.3670659937888177</v>
      </c>
      <c r="F20" s="335">
        <f t="shared" si="0"/>
        <v>5.0883333333333329</v>
      </c>
      <c r="G20" s="335">
        <f t="shared" si="1"/>
        <v>3.773337700622339</v>
      </c>
      <c r="H20" s="335">
        <f t="shared" si="2"/>
        <v>19.2</v>
      </c>
      <c r="I20" s="335">
        <f t="shared" si="3"/>
        <v>2.1788779346052909</v>
      </c>
      <c r="J20" s="335">
        <f t="shared" si="4"/>
        <v>2.0772195550747177</v>
      </c>
      <c r="K20" s="335">
        <f t="shared" si="8"/>
        <v>8.3891939283941088</v>
      </c>
      <c r="L20" s="335">
        <f t="shared" si="9"/>
        <v>8.4442855488635349</v>
      </c>
      <c r="M20" s="476">
        <f t="shared" si="5"/>
        <v>4.816762064149728</v>
      </c>
      <c r="N20" s="476">
        <f t="shared" si="10"/>
        <v>3.2426056507635974</v>
      </c>
      <c r="O20" s="485" t="str">
        <f t="shared" si="11"/>
        <v>YES</v>
      </c>
      <c r="P20" s="488" t="str">
        <f t="shared" si="12"/>
        <v/>
      </c>
      <c r="Q20" s="870" t="s">
        <v>746</v>
      </c>
      <c r="R20" s="870"/>
      <c r="S20" s="870"/>
      <c r="T20" s="890">
        <f>B6</f>
        <v>27.254658385093173</v>
      </c>
      <c r="U20" s="888"/>
      <c r="V20" s="509" t="s">
        <v>703</v>
      </c>
      <c r="W20" s="357"/>
      <c r="X20" s="357"/>
      <c r="Y20" s="357"/>
      <c r="Z20" s="357"/>
      <c r="AA20" s="357"/>
      <c r="AB20" s="889" t="s">
        <v>805</v>
      </c>
      <c r="AC20" s="889"/>
      <c r="AD20" s="889"/>
      <c r="AE20" s="889"/>
      <c r="AF20" s="889"/>
      <c r="AG20" s="887">
        <f>B14</f>
        <v>0.12</v>
      </c>
      <c r="AH20" s="888"/>
      <c r="AI20" s="357" t="s">
        <v>704</v>
      </c>
      <c r="AJ20" s="357"/>
      <c r="AK20" s="357"/>
      <c r="AL20" s="510" t="str">
        <f>IF(B19=1,"Two (in-plane) 32k axles spaced 14-ft apart",IF(B19=2,"Two (in-plane) 40k axles spaced 14-ft apart","Two (in-plane) 25k axles spaced 4-ft apart"))</f>
        <v>Two (in-plane) 32k axles spaced 14-ft apart</v>
      </c>
      <c r="AM20" s="357"/>
      <c r="AN20" s="357"/>
      <c r="AO20" s="357"/>
      <c r="AP20" s="357"/>
      <c r="AQ20" s="357"/>
      <c r="AR20" s="357"/>
      <c r="AS20" s="357"/>
      <c r="AT20" s="357"/>
      <c r="AU20" s="357"/>
      <c r="AV20" s="357"/>
      <c r="AW20" s="357"/>
    </row>
    <row r="21" spans="1:49" ht="18" customHeight="1">
      <c r="A21" s="452" t="s">
        <v>781</v>
      </c>
      <c r="B21" s="449">
        <v>20</v>
      </c>
      <c r="C21" s="443">
        <v>3.8</v>
      </c>
      <c r="D21" s="458">
        <f t="shared" si="6"/>
        <v>6.3198159937888194</v>
      </c>
      <c r="E21" s="458">
        <f t="shared" si="7"/>
        <v>6.4765659937888191</v>
      </c>
      <c r="F21" s="335">
        <f t="shared" si="0"/>
        <v>5.2033333333333323</v>
      </c>
      <c r="G21" s="335">
        <f t="shared" si="1"/>
        <v>3.6899423446508655</v>
      </c>
      <c r="H21" s="335">
        <f t="shared" si="2"/>
        <v>19.2</v>
      </c>
      <c r="I21" s="335">
        <f t="shared" si="3"/>
        <v>2.1647523078007187</v>
      </c>
      <c r="J21" s="335">
        <f t="shared" si="4"/>
        <v>2.0643773939923391</v>
      </c>
      <c r="K21" s="335">
        <f t="shared" si="8"/>
        <v>8.4845683015895386</v>
      </c>
      <c r="L21" s="335">
        <f t="shared" si="9"/>
        <v>8.5409433877811587</v>
      </c>
      <c r="M21" s="476">
        <f t="shared" si="5"/>
        <v>4.8715224698121755</v>
      </c>
      <c r="N21" s="476">
        <f t="shared" si="10"/>
        <v>3.279722260907965</v>
      </c>
      <c r="O21" s="485" t="str">
        <f t="shared" si="11"/>
        <v>YES</v>
      </c>
      <c r="P21" s="488" t="str">
        <f t="shared" si="12"/>
        <v/>
      </c>
      <c r="Q21" s="870" t="s">
        <v>741</v>
      </c>
      <c r="R21" s="870"/>
      <c r="S21" s="870"/>
      <c r="T21" s="865">
        <f>B4</f>
        <v>100.5</v>
      </c>
      <c r="U21" s="864"/>
      <c r="V21" s="509" t="s">
        <v>8</v>
      </c>
      <c r="W21" s="357"/>
      <c r="X21" s="357"/>
      <c r="Y21" s="357"/>
      <c r="Z21" s="357"/>
      <c r="AA21" s="357"/>
      <c r="AB21" s="870" t="s">
        <v>754</v>
      </c>
      <c r="AC21" s="870"/>
      <c r="AD21" s="870"/>
      <c r="AE21" s="870"/>
      <c r="AF21" s="870"/>
      <c r="AG21" s="865">
        <f>B15</f>
        <v>28</v>
      </c>
      <c r="AH21" s="865"/>
      <c r="AI21" s="357" t="s">
        <v>705</v>
      </c>
      <c r="AJ21" s="357"/>
      <c r="AK21" s="357"/>
      <c r="AL21" s="357" t="s">
        <v>778</v>
      </c>
      <c r="AM21" s="357"/>
      <c r="AN21" s="357"/>
      <c r="AO21" s="357"/>
      <c r="AP21" s="357"/>
      <c r="AQ21" s="357"/>
      <c r="AR21" s="357"/>
      <c r="AS21" s="357"/>
      <c r="AT21" s="871">
        <f>B23</f>
        <v>6</v>
      </c>
      <c r="AU21" s="864"/>
      <c r="AV21" s="357" t="s">
        <v>13</v>
      </c>
      <c r="AW21" s="357"/>
    </row>
    <row r="22" spans="1:49" ht="18" customHeight="1">
      <c r="A22" s="452" t="s">
        <v>782</v>
      </c>
      <c r="B22" s="449">
        <v>10</v>
      </c>
      <c r="C22" s="443">
        <v>3.9000000000000004</v>
      </c>
      <c r="D22" s="458">
        <f t="shared" si="6"/>
        <v>6.42931599378882</v>
      </c>
      <c r="E22" s="458">
        <f t="shared" si="7"/>
        <v>6.5860659937888197</v>
      </c>
      <c r="F22" s="335">
        <f t="shared" si="0"/>
        <v>5.3183333333333334</v>
      </c>
      <c r="G22" s="335">
        <f t="shared" si="1"/>
        <v>3.6101535568787213</v>
      </c>
      <c r="H22" s="335">
        <f t="shared" si="2"/>
        <v>19.2</v>
      </c>
      <c r="I22" s="335">
        <f t="shared" si="3"/>
        <v>2.1508086536441922</v>
      </c>
      <c r="J22" s="335">
        <f t="shared" si="4"/>
        <v>2.0516930474854735</v>
      </c>
      <c r="K22" s="335">
        <f t="shared" si="8"/>
        <v>8.5801246474330117</v>
      </c>
      <c r="L22" s="335">
        <f t="shared" si="9"/>
        <v>8.6377590412742933</v>
      </c>
      <c r="M22" s="476">
        <f t="shared" si="5"/>
        <v>4.9263873573778065</v>
      </c>
      <c r="N22" s="476">
        <f t="shared" si="10"/>
        <v>3.3168994718493288</v>
      </c>
      <c r="O22" s="485" t="str">
        <f t="shared" si="11"/>
        <v>YES</v>
      </c>
      <c r="P22" s="488" t="str">
        <f t="shared" si="12"/>
        <v/>
      </c>
      <c r="Q22" s="870" t="s">
        <v>742</v>
      </c>
      <c r="R22" s="870"/>
      <c r="S22" s="870"/>
      <c r="T22" s="865">
        <f>B5</f>
        <v>59.5</v>
      </c>
      <c r="U22" s="864"/>
      <c r="V22" s="509" t="s">
        <v>8</v>
      </c>
      <c r="W22" s="357"/>
      <c r="X22" s="357"/>
      <c r="Y22" s="357"/>
      <c r="Z22" s="357"/>
      <c r="AA22" s="357"/>
      <c r="AB22" s="870" t="s">
        <v>755</v>
      </c>
      <c r="AC22" s="870"/>
      <c r="AD22" s="870"/>
      <c r="AE22" s="870"/>
      <c r="AF22" s="870"/>
      <c r="AG22" s="865">
        <f>B17</f>
        <v>9.3333333333333339</v>
      </c>
      <c r="AH22" s="865"/>
      <c r="AI22" s="357" t="s">
        <v>705</v>
      </c>
      <c r="AJ22" s="357"/>
      <c r="AK22" s="357"/>
      <c r="AL22" s="511" t="s">
        <v>762</v>
      </c>
      <c r="AM22" s="357"/>
      <c r="AN22" s="357"/>
      <c r="AO22" s="357"/>
      <c r="AP22" s="357"/>
      <c r="AQ22" s="357"/>
      <c r="AR22" s="357"/>
      <c r="AS22" s="357"/>
      <c r="AT22" s="357"/>
      <c r="AU22" s="357"/>
      <c r="AV22" s="357"/>
      <c r="AW22" s="357"/>
    </row>
    <row r="23" spans="1:49" ht="18" customHeight="1">
      <c r="A23" s="453" t="s">
        <v>714</v>
      </c>
      <c r="B23" s="455">
        <v>6</v>
      </c>
      <c r="C23" s="443">
        <v>4</v>
      </c>
      <c r="D23" s="458">
        <f t="shared" si="6"/>
        <v>6.5388159937888179</v>
      </c>
      <c r="E23" s="458">
        <f t="shared" si="7"/>
        <v>6.6955659937888177</v>
      </c>
      <c r="F23" s="335">
        <f t="shared" si="0"/>
        <v>5.4333333333333327</v>
      </c>
      <c r="G23" s="335">
        <f t="shared" si="1"/>
        <v>3.533742331288344</v>
      </c>
      <c r="H23" s="335">
        <f t="shared" si="2"/>
        <v>19.2</v>
      </c>
      <c r="I23" s="335">
        <f t="shared" si="3"/>
        <v>2.1370434782608698</v>
      </c>
      <c r="J23" s="335">
        <f t="shared" si="4"/>
        <v>2.0391636242947233</v>
      </c>
      <c r="K23" s="335">
        <f t="shared" si="8"/>
        <v>8.6758594720496873</v>
      </c>
      <c r="L23" s="335">
        <f t="shared" si="9"/>
        <v>8.7347296180835414</v>
      </c>
      <c r="M23" s="476">
        <f t="shared" si="5"/>
        <v>4.9813547207940791</v>
      </c>
      <c r="N23" s="476">
        <f t="shared" si="10"/>
        <v>3.35413617334408</v>
      </c>
      <c r="O23" s="485" t="str">
        <f t="shared" si="11"/>
        <v>YES</v>
      </c>
      <c r="P23" s="488" t="str">
        <f t="shared" si="12"/>
        <v/>
      </c>
      <c r="Q23" s="870" t="s">
        <v>743</v>
      </c>
      <c r="R23" s="870"/>
      <c r="S23" s="870"/>
      <c r="T23" s="865">
        <f>B9</f>
        <v>9</v>
      </c>
      <c r="U23" s="864"/>
      <c r="V23" s="509" t="s">
        <v>8</v>
      </c>
      <c r="W23" s="357"/>
      <c r="X23" s="357"/>
      <c r="Y23" s="357"/>
      <c r="Z23" s="357"/>
      <c r="AA23" s="357"/>
      <c r="AB23" s="870" t="s">
        <v>757</v>
      </c>
      <c r="AC23" s="870"/>
      <c r="AD23" s="870"/>
      <c r="AE23" s="870"/>
      <c r="AF23" s="870"/>
      <c r="AG23" s="865">
        <f>B18</f>
        <v>4</v>
      </c>
      <c r="AH23" s="865"/>
      <c r="AI23" s="357" t="s">
        <v>705</v>
      </c>
      <c r="AJ23" s="357"/>
      <c r="AK23" s="357"/>
      <c r="AL23" s="511" t="s">
        <v>764</v>
      </c>
      <c r="AM23" s="357"/>
      <c r="AN23" s="357"/>
      <c r="AO23" s="357"/>
      <c r="AP23" s="357"/>
      <c r="AQ23" s="357"/>
      <c r="AR23" s="357"/>
      <c r="AS23" s="357">
        <f>B22</f>
        <v>10</v>
      </c>
      <c r="AT23" s="357" t="s">
        <v>8</v>
      </c>
      <c r="AU23" s="357"/>
      <c r="AV23" s="357"/>
      <c r="AW23" s="357"/>
    </row>
    <row r="24" spans="1:49" ht="18" customHeight="1">
      <c r="A24" s="453" t="s">
        <v>715</v>
      </c>
      <c r="B24" s="455">
        <f>IF(B19=3,4,14)</f>
        <v>14</v>
      </c>
      <c r="C24" s="443">
        <v>4.0999999999999996</v>
      </c>
      <c r="D24" s="458">
        <f t="shared" si="6"/>
        <v>6.6483159937888185</v>
      </c>
      <c r="E24" s="458">
        <f t="shared" si="7"/>
        <v>6.8050659937888183</v>
      </c>
      <c r="F24" s="335">
        <f t="shared" si="0"/>
        <v>5.548333333333332</v>
      </c>
      <c r="G24" s="335">
        <f t="shared" si="1"/>
        <v>3.4604986482427162</v>
      </c>
      <c r="H24" s="335">
        <f t="shared" si="2"/>
        <v>19.2</v>
      </c>
      <c r="I24" s="335">
        <f t="shared" si="3"/>
        <v>2.1234533766503079</v>
      </c>
      <c r="J24" s="335">
        <f t="shared" si="4"/>
        <v>2.0267863033581843</v>
      </c>
      <c r="K24" s="335">
        <f t="shared" si="8"/>
        <v>8.7717693704391273</v>
      </c>
      <c r="L24" s="335">
        <f t="shared" si="9"/>
        <v>8.8318522971470017</v>
      </c>
      <c r="M24" s="476">
        <f t="shared" si="5"/>
        <v>5.0364226050368197</v>
      </c>
      <c r="N24" s="476">
        <f t="shared" si="10"/>
        <v>3.391431282104449</v>
      </c>
      <c r="O24" s="485" t="str">
        <f t="shared" si="11"/>
        <v>YES</v>
      </c>
      <c r="P24" s="488" t="str">
        <f t="shared" si="12"/>
        <v/>
      </c>
      <c r="Q24" s="870" t="s">
        <v>745</v>
      </c>
      <c r="R24" s="870"/>
      <c r="S24" s="870"/>
      <c r="T24" s="865">
        <f>B7</f>
        <v>5.95</v>
      </c>
      <c r="U24" s="864"/>
      <c r="V24" s="509" t="s">
        <v>8</v>
      </c>
      <c r="W24" s="357"/>
      <c r="X24" s="357"/>
      <c r="Y24" s="357"/>
      <c r="Z24" s="357"/>
      <c r="AA24" s="357"/>
      <c r="AB24" s="357"/>
      <c r="AC24" s="357"/>
      <c r="AD24" s="357"/>
      <c r="AE24" s="864" t="s">
        <v>820</v>
      </c>
      <c r="AF24" s="864"/>
      <c r="AG24" s="865">
        <f>B8/12</f>
        <v>0.75</v>
      </c>
      <c r="AH24" s="864"/>
      <c r="AI24" s="357" t="s">
        <v>13</v>
      </c>
      <c r="AJ24" s="357"/>
      <c r="AK24" s="357"/>
      <c r="AL24" s="511" t="s">
        <v>765</v>
      </c>
      <c r="AM24" s="357"/>
      <c r="AN24" s="357"/>
      <c r="AO24" s="357"/>
      <c r="AP24" s="357"/>
      <c r="AQ24" s="357"/>
      <c r="AR24" s="357"/>
      <c r="AS24" s="357">
        <f>B21</f>
        <v>20</v>
      </c>
      <c r="AT24" s="357" t="s">
        <v>8</v>
      </c>
      <c r="AU24" s="357"/>
      <c r="AV24" s="357"/>
      <c r="AW24" s="357"/>
    </row>
    <row r="25" spans="1:49" ht="18" customHeight="1">
      <c r="A25" s="454" t="s">
        <v>716</v>
      </c>
      <c r="B25" s="448">
        <f>(B23-B21/12)/1.15</f>
        <v>3.7681159420289854</v>
      </c>
      <c r="C25" s="443">
        <v>4.2</v>
      </c>
      <c r="D25" s="458">
        <f t="shared" si="6"/>
        <v>6.7578159937888183</v>
      </c>
      <c r="E25" s="458">
        <f t="shared" si="7"/>
        <v>6.914565993788818</v>
      </c>
      <c r="F25" s="335">
        <f t="shared" si="0"/>
        <v>5.6633333333333331</v>
      </c>
      <c r="G25" s="335">
        <f t="shared" si="1"/>
        <v>3.3902295467922308</v>
      </c>
      <c r="H25" s="335">
        <f t="shared" si="2"/>
        <v>19.2</v>
      </c>
      <c r="I25" s="335">
        <f t="shared" si="3"/>
        <v>2.1100350298784254</v>
      </c>
      <c r="J25" s="335">
        <f t="shared" si="4"/>
        <v>2.0145583316938818</v>
      </c>
      <c r="K25" s="335">
        <f t="shared" si="8"/>
        <v>8.8678510236672441</v>
      </c>
      <c r="L25" s="335">
        <f t="shared" si="9"/>
        <v>8.9291243254827002</v>
      </c>
      <c r="M25" s="476">
        <f t="shared" si="5"/>
        <v>5.09158910449794</v>
      </c>
      <c r="N25" s="476">
        <f t="shared" si="10"/>
        <v>3.4287837409853572</v>
      </c>
      <c r="O25" s="485" t="str">
        <f t="shared" si="11"/>
        <v>YES</v>
      </c>
      <c r="P25" s="488" t="str">
        <f t="shared" si="12"/>
        <v/>
      </c>
      <c r="Q25" s="870" t="s">
        <v>744</v>
      </c>
      <c r="R25" s="870"/>
      <c r="S25" s="870"/>
      <c r="T25" s="865">
        <f>B11/12</f>
        <v>1.7416666666666665</v>
      </c>
      <c r="U25" s="864"/>
      <c r="V25" s="509" t="s">
        <v>13</v>
      </c>
      <c r="W25" s="357"/>
      <c r="X25" s="357"/>
      <c r="Y25" s="357"/>
      <c r="Z25" s="357"/>
      <c r="AA25" s="357"/>
      <c r="AB25" s="357"/>
      <c r="AC25" s="357"/>
      <c r="AD25" s="357"/>
      <c r="AE25" s="869" t="s">
        <v>797</v>
      </c>
      <c r="AF25" s="869"/>
      <c r="AG25" s="865">
        <f>AA17+B5/12</f>
        <v>11.958333333333332</v>
      </c>
      <c r="AH25" s="865"/>
      <c r="AI25" s="357" t="s">
        <v>13</v>
      </c>
      <c r="AJ25" s="357"/>
      <c r="AK25" s="357"/>
      <c r="AL25" s="509" t="s">
        <v>798</v>
      </c>
      <c r="AM25" s="357"/>
      <c r="AN25" s="357"/>
      <c r="AO25" s="357"/>
      <c r="AP25" s="357"/>
      <c r="AQ25" s="357"/>
      <c r="AR25" s="357"/>
      <c r="AS25" s="357"/>
      <c r="AT25" s="357"/>
      <c r="AU25" s="894">
        <f>B27</f>
        <v>1.2</v>
      </c>
      <c r="AV25" s="894"/>
      <c r="AW25" s="357"/>
    </row>
    <row r="26" spans="1:49" ht="18" customHeight="1">
      <c r="A26" s="454" t="s">
        <v>717</v>
      </c>
      <c r="B26" s="448">
        <f>(B24-B22/12)/1.15</f>
        <v>11.449275362318842</v>
      </c>
      <c r="C26" s="443">
        <v>4.3000000000000007</v>
      </c>
      <c r="D26" s="458">
        <f t="shared" si="6"/>
        <v>6.8673159937888189</v>
      </c>
      <c r="E26" s="458">
        <f t="shared" si="7"/>
        <v>7.0240659937888186</v>
      </c>
      <c r="F26" s="335">
        <f t="shared" si="0"/>
        <v>5.7783333333333333</v>
      </c>
      <c r="G26" s="335">
        <f t="shared" si="1"/>
        <v>3.3227574271704641</v>
      </c>
      <c r="H26" s="335">
        <f t="shared" si="2"/>
        <v>19.2</v>
      </c>
      <c r="I26" s="335">
        <f t="shared" si="3"/>
        <v>2.0967852023752647</v>
      </c>
      <c r="J26" s="335">
        <f t="shared" si="4"/>
        <v>2.0024770223583861</v>
      </c>
      <c r="K26" s="335">
        <f t="shared" si="8"/>
        <v>8.9641011961640835</v>
      </c>
      <c r="L26" s="335">
        <f t="shared" si="9"/>
        <v>9.0265430161472047</v>
      </c>
      <c r="M26" s="476">
        <f t="shared" si="5"/>
        <v>5.1468523614339245</v>
      </c>
      <c r="N26" s="476">
        <f t="shared" si="10"/>
        <v>3.4661925182005269</v>
      </c>
      <c r="O26" s="485" t="str">
        <f t="shared" si="11"/>
        <v>YES</v>
      </c>
      <c r="P26" s="488" t="str">
        <f t="shared" si="12"/>
        <v/>
      </c>
      <c r="Q26" s="870" t="s">
        <v>790</v>
      </c>
      <c r="R26" s="870"/>
      <c r="S26" s="870"/>
      <c r="T26" s="865">
        <f>(B4+B9)/12</f>
        <v>9.125</v>
      </c>
      <c r="U26" s="864"/>
      <c r="V26" s="509" t="s">
        <v>13</v>
      </c>
      <c r="W26" s="357"/>
      <c r="X26" s="357"/>
      <c r="Y26" s="357"/>
      <c r="Z26" s="357"/>
      <c r="AA26" s="357"/>
      <c r="AB26" s="357"/>
      <c r="AC26" s="357"/>
      <c r="AD26" s="357"/>
      <c r="AE26" s="864" t="s">
        <v>796</v>
      </c>
      <c r="AF26" s="864"/>
      <c r="AG26" s="865">
        <f>AA17+B5/12+B8/12</f>
        <v>12.708333333333332</v>
      </c>
      <c r="AH26" s="865"/>
      <c r="AI26" s="357" t="s">
        <v>13</v>
      </c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7"/>
      <c r="AV26" s="357"/>
      <c r="AW26" s="357"/>
    </row>
    <row r="27" spans="1:49" ht="18" customHeight="1" thickBot="1">
      <c r="A27" s="462" t="s">
        <v>723</v>
      </c>
      <c r="B27" s="456">
        <v>1.2</v>
      </c>
      <c r="C27" s="443">
        <v>4.4000000000000004</v>
      </c>
      <c r="D27" s="458">
        <f t="shared" si="6"/>
        <v>6.9768159937888203</v>
      </c>
      <c r="E27" s="458">
        <f t="shared" si="7"/>
        <v>7.1335659937888201</v>
      </c>
      <c r="F27" s="335">
        <f t="shared" si="0"/>
        <v>5.8933333333333326</v>
      </c>
      <c r="G27" s="335">
        <f t="shared" si="1"/>
        <v>3.2579185520361995</v>
      </c>
      <c r="H27" s="335">
        <f t="shared" si="2"/>
        <v>19.2</v>
      </c>
      <c r="I27" s="335">
        <f t="shared" si="3"/>
        <v>2.0837007393339211</v>
      </c>
      <c r="J27" s="335">
        <f t="shared" si="4"/>
        <v>1.9905397524784549</v>
      </c>
      <c r="K27" s="335">
        <f t="shared" si="8"/>
        <v>9.060516733122741</v>
      </c>
      <c r="L27" s="335">
        <f t="shared" si="9"/>
        <v>9.1241057462672757</v>
      </c>
      <c r="M27" s="476">
        <f t="shared" si="5"/>
        <v>5.2022105644723879</v>
      </c>
      <c r="N27" s="476">
        <f t="shared" si="10"/>
        <v>3.5036566065666341</v>
      </c>
      <c r="O27" s="485" t="str">
        <f t="shared" si="11"/>
        <v>YES</v>
      </c>
      <c r="P27" s="488" t="str">
        <f t="shared" si="12"/>
        <v/>
      </c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</row>
    <row r="28" spans="1:49" ht="18" customHeight="1" thickBot="1">
      <c r="A28" s="490" t="s">
        <v>740</v>
      </c>
      <c r="B28" s="491">
        <f>SUM(P3:P143)</f>
        <v>5.7</v>
      </c>
      <c r="C28" s="443">
        <v>4.5</v>
      </c>
      <c r="D28" s="458">
        <f t="shared" si="6"/>
        <v>7.0863159937888183</v>
      </c>
      <c r="E28" s="458">
        <f t="shared" si="7"/>
        <v>7.243065993788818</v>
      </c>
      <c r="F28" s="335">
        <f t="shared" si="0"/>
        <v>6.0083333333333329</v>
      </c>
      <c r="G28" s="335">
        <f t="shared" si="1"/>
        <v>3.1955617198335644</v>
      </c>
      <c r="H28" s="335">
        <f t="shared" si="2"/>
        <v>19.2</v>
      </c>
      <c r="I28" s="335">
        <f t="shared" si="3"/>
        <v>2.070778564206269</v>
      </c>
      <c r="J28" s="335">
        <f t="shared" si="4"/>
        <v>1.9787439613526574</v>
      </c>
      <c r="K28" s="335">
        <f t="shared" si="8"/>
        <v>9.1570945579950873</v>
      </c>
      <c r="L28" s="335">
        <f t="shared" si="9"/>
        <v>9.2218099551414756</v>
      </c>
      <c r="M28" s="476">
        <f t="shared" si="5"/>
        <v>5.2576619471742134</v>
      </c>
      <c r="N28" s="476">
        <f t="shared" si="10"/>
        <v>3.5411750227743268</v>
      </c>
      <c r="O28" s="485" t="str">
        <f t="shared" si="11"/>
        <v>YES</v>
      </c>
      <c r="P28" s="488" t="str">
        <f t="shared" si="12"/>
        <v/>
      </c>
      <c r="Q28" s="885" t="s">
        <v>766</v>
      </c>
      <c r="R28" s="868" t="s">
        <v>779</v>
      </c>
      <c r="S28" s="868"/>
      <c r="T28" s="868"/>
      <c r="U28" s="868"/>
      <c r="V28" s="868"/>
      <c r="W28" s="868"/>
      <c r="X28" s="868"/>
      <c r="Y28" s="868"/>
      <c r="Z28" s="868"/>
      <c r="AA28" s="868"/>
      <c r="AB28" s="868"/>
      <c r="AC28" s="868"/>
      <c r="AD28" s="868"/>
      <c r="AE28" s="868"/>
      <c r="AF28" s="868"/>
      <c r="AG28" s="868"/>
      <c r="AH28" s="868"/>
      <c r="AI28" s="897" t="s">
        <v>767</v>
      </c>
      <c r="AJ28" s="897"/>
      <c r="AK28" s="897"/>
      <c r="AL28" s="873" t="s">
        <v>768</v>
      </c>
      <c r="AM28" s="874">
        <f>B26</f>
        <v>11.449275362318842</v>
      </c>
      <c r="AN28" s="873"/>
      <c r="AO28" s="868" t="s">
        <v>13</v>
      </c>
      <c r="AP28" s="357"/>
      <c r="AQ28" s="357"/>
      <c r="AR28" s="357"/>
      <c r="AS28" s="357"/>
      <c r="AT28" s="357"/>
      <c r="AU28" s="357"/>
      <c r="AV28" s="357"/>
      <c r="AW28" s="357"/>
    </row>
    <row r="29" spans="1:49" ht="18" customHeight="1">
      <c r="C29" s="443">
        <v>4.5999999999999996</v>
      </c>
      <c r="D29" s="458">
        <f t="shared" si="6"/>
        <v>7.1958159937888189</v>
      </c>
      <c r="E29" s="458">
        <f t="shared" si="7"/>
        <v>7.3525659937888186</v>
      </c>
      <c r="F29" s="335">
        <f t="shared" si="0"/>
        <v>6.1233333333333322</v>
      </c>
      <c r="G29" s="335">
        <f t="shared" si="1"/>
        <v>3.1355470876428964</v>
      </c>
      <c r="H29" s="335">
        <f t="shared" si="2"/>
        <v>19.2</v>
      </c>
      <c r="I29" s="335">
        <f t="shared" si="3"/>
        <v>2.058015676291284</v>
      </c>
      <c r="J29" s="335">
        <f t="shared" si="4"/>
        <v>1.9670871486200936</v>
      </c>
      <c r="K29" s="335">
        <f t="shared" si="8"/>
        <v>9.2538316700801033</v>
      </c>
      <c r="L29" s="335">
        <f t="shared" si="9"/>
        <v>9.319653142408912</v>
      </c>
      <c r="M29" s="476">
        <f t="shared" si="5"/>
        <v>5.3132047866488641</v>
      </c>
      <c r="N29" s="476">
        <f t="shared" si="10"/>
        <v>3.5787468066850225</v>
      </c>
      <c r="O29" s="485" t="str">
        <f t="shared" si="11"/>
        <v>YES</v>
      </c>
      <c r="P29" s="488" t="str">
        <f t="shared" si="12"/>
        <v/>
      </c>
      <c r="Q29" s="885"/>
      <c r="R29" s="868"/>
      <c r="S29" s="868"/>
      <c r="T29" s="868"/>
      <c r="U29" s="868"/>
      <c r="V29" s="868"/>
      <c r="W29" s="868"/>
      <c r="X29" s="868"/>
      <c r="Y29" s="868"/>
      <c r="Z29" s="868"/>
      <c r="AA29" s="868"/>
      <c r="AB29" s="868"/>
      <c r="AC29" s="868"/>
      <c r="AD29" s="868"/>
      <c r="AE29" s="868"/>
      <c r="AF29" s="868"/>
      <c r="AG29" s="868"/>
      <c r="AH29" s="868"/>
      <c r="AI29" s="869">
        <v>1.1499999999999999</v>
      </c>
      <c r="AJ29" s="869"/>
      <c r="AK29" s="869"/>
      <c r="AL29" s="873"/>
      <c r="AM29" s="873"/>
      <c r="AN29" s="873"/>
      <c r="AO29" s="868"/>
      <c r="AP29" s="357"/>
      <c r="AQ29" s="357"/>
      <c r="AR29" s="357"/>
      <c r="AS29" s="357"/>
      <c r="AT29" s="357"/>
      <c r="AU29" s="357"/>
      <c r="AV29" s="357"/>
      <c r="AW29" s="357"/>
    </row>
    <row r="30" spans="1:49" ht="18" customHeight="1">
      <c r="C30" s="443">
        <v>4.7</v>
      </c>
      <c r="D30" s="458">
        <f t="shared" si="6"/>
        <v>7.3053159937888186</v>
      </c>
      <c r="E30" s="458">
        <f t="shared" si="7"/>
        <v>7.4620659937888183</v>
      </c>
      <c r="F30" s="335">
        <f t="shared" si="0"/>
        <v>6.2383333333333324</v>
      </c>
      <c r="G30" s="335">
        <f t="shared" si="1"/>
        <v>3.0777451242319001</v>
      </c>
      <c r="H30" s="335">
        <f t="shared" si="2"/>
        <v>19.2</v>
      </c>
      <c r="I30" s="335">
        <f t="shared" si="3"/>
        <v>2.0454091484120114</v>
      </c>
      <c r="J30" s="335">
        <f t="shared" si="4"/>
        <v>1.9555668724934749</v>
      </c>
      <c r="K30" s="335">
        <f t="shared" si="8"/>
        <v>9.3507251422008295</v>
      </c>
      <c r="L30" s="335">
        <f t="shared" si="9"/>
        <v>9.4176328662822932</v>
      </c>
      <c r="M30" s="476">
        <f t="shared" si="5"/>
        <v>5.3688374022205725</v>
      </c>
      <c r="N30" s="476">
        <f t="shared" si="10"/>
        <v>3.6163710206524007</v>
      </c>
      <c r="O30" s="485" t="str">
        <f t="shared" si="11"/>
        <v>YES</v>
      </c>
      <c r="P30" s="488" t="str">
        <f t="shared" si="12"/>
        <v/>
      </c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512"/>
      <c r="AM30" s="512"/>
      <c r="AN30" s="513"/>
      <c r="AO30" s="357"/>
      <c r="AP30" s="357"/>
      <c r="AQ30" s="357"/>
      <c r="AR30" s="357"/>
      <c r="AS30" s="357"/>
      <c r="AT30" s="357"/>
      <c r="AU30" s="357"/>
      <c r="AV30" s="357"/>
      <c r="AW30" s="357"/>
    </row>
    <row r="31" spans="1:49" ht="18" customHeight="1">
      <c r="C31" s="443">
        <v>4.8000000000000007</v>
      </c>
      <c r="D31" s="458">
        <f t="shared" si="6"/>
        <v>7.4148159937888192</v>
      </c>
      <c r="E31" s="458">
        <f t="shared" si="7"/>
        <v>7.5715659937888189</v>
      </c>
      <c r="F31" s="335">
        <f t="shared" si="0"/>
        <v>6.3533333333333335</v>
      </c>
      <c r="G31" s="335">
        <f t="shared" si="1"/>
        <v>3.0220356768100731</v>
      </c>
      <c r="H31" s="335">
        <f t="shared" si="2"/>
        <v>19.2</v>
      </c>
      <c r="I31" s="335">
        <f t="shared" si="3"/>
        <v>2.0329561246773875</v>
      </c>
      <c r="J31" s="335">
        <f t="shared" si="4"/>
        <v>1.9441807480539206</v>
      </c>
      <c r="K31" s="335">
        <f t="shared" si="8"/>
        <v>9.4477721184662062</v>
      </c>
      <c r="L31" s="335">
        <f t="shared" si="9"/>
        <v>9.5157467418427402</v>
      </c>
      <c r="M31" s="476">
        <f t="shared" si="5"/>
        <v>5.424558154143277</v>
      </c>
      <c r="N31" s="476">
        <f t="shared" si="10"/>
        <v>3.6540467488676125</v>
      </c>
      <c r="O31" s="485" t="str">
        <f t="shared" si="11"/>
        <v>YES</v>
      </c>
      <c r="P31" s="488" t="str">
        <f t="shared" si="12"/>
        <v/>
      </c>
      <c r="Q31" s="514" t="s">
        <v>771</v>
      </c>
      <c r="R31" s="893" t="s">
        <v>793</v>
      </c>
      <c r="S31" s="893"/>
      <c r="T31" s="893"/>
      <c r="U31" s="893"/>
      <c r="V31" s="893"/>
      <c r="W31" s="893"/>
      <c r="X31" s="893"/>
      <c r="Y31" s="893"/>
      <c r="Z31" s="893"/>
      <c r="AA31" s="893"/>
      <c r="AB31" s="893"/>
      <c r="AC31" s="893"/>
      <c r="AD31" s="893"/>
      <c r="AE31" s="893"/>
      <c r="AF31" s="893"/>
      <c r="AG31" s="893"/>
      <c r="AH31" s="893"/>
      <c r="AI31" s="893"/>
      <c r="AJ31" s="893"/>
      <c r="AK31" s="893"/>
      <c r="AL31" s="893"/>
      <c r="AM31" s="893"/>
      <c r="AN31" s="513"/>
      <c r="AO31" s="357"/>
      <c r="AP31" s="873" t="s">
        <v>750</v>
      </c>
      <c r="AQ31" s="873">
        <f>B20</f>
        <v>16</v>
      </c>
      <c r="AR31" s="868" t="s">
        <v>747</v>
      </c>
      <c r="AS31" s="868"/>
      <c r="AT31" s="873" t="s">
        <v>750</v>
      </c>
      <c r="AU31" s="873">
        <f>B20</f>
        <v>16</v>
      </c>
      <c r="AV31" s="868" t="s">
        <v>747</v>
      </c>
      <c r="AW31" s="868"/>
    </row>
    <row r="32" spans="1:49" ht="18" customHeight="1">
      <c r="C32" s="443">
        <v>4.9000000000000004</v>
      </c>
      <c r="D32" s="458">
        <f t="shared" si="6"/>
        <v>7.5243159937888207</v>
      </c>
      <c r="E32" s="458">
        <f t="shared" si="7"/>
        <v>7.6810659937888204</v>
      </c>
      <c r="F32" s="335">
        <f t="shared" si="0"/>
        <v>6.4683333333333328</v>
      </c>
      <c r="G32" s="335">
        <f t="shared" si="1"/>
        <v>2.9683071373357381</v>
      </c>
      <c r="H32" s="335">
        <f t="shared" si="2"/>
        <v>19.2</v>
      </c>
      <c r="I32" s="335">
        <f t="shared" si="3"/>
        <v>2.0206538183253304</v>
      </c>
      <c r="J32" s="335">
        <f t="shared" si="4"/>
        <v>1.9329264456049833</v>
      </c>
      <c r="K32" s="335">
        <f t="shared" si="8"/>
        <v>9.5449698121141502</v>
      </c>
      <c r="L32" s="335">
        <f t="shared" si="9"/>
        <v>9.6139924393938045</v>
      </c>
      <c r="M32" s="476">
        <f t="shared" si="5"/>
        <v>5.4803654423621921</v>
      </c>
      <c r="N32" s="476">
        <f t="shared" si="10"/>
        <v>3.6917730967272213</v>
      </c>
      <c r="O32" s="485" t="str">
        <f t="shared" si="11"/>
        <v>YES</v>
      </c>
      <c r="P32" s="488" t="str">
        <f t="shared" si="12"/>
        <v/>
      </c>
      <c r="Q32" s="357"/>
      <c r="R32" s="893"/>
      <c r="S32" s="893"/>
      <c r="T32" s="893"/>
      <c r="U32" s="893"/>
      <c r="V32" s="893"/>
      <c r="W32" s="893"/>
      <c r="X32" s="893"/>
      <c r="Y32" s="893"/>
      <c r="Z32" s="893"/>
      <c r="AA32" s="893"/>
      <c r="AB32" s="893"/>
      <c r="AC32" s="893"/>
      <c r="AD32" s="893"/>
      <c r="AE32" s="893"/>
      <c r="AF32" s="893"/>
      <c r="AG32" s="893"/>
      <c r="AH32" s="893"/>
      <c r="AI32" s="893"/>
      <c r="AJ32" s="893"/>
      <c r="AK32" s="893"/>
      <c r="AL32" s="893"/>
      <c r="AM32" s="893"/>
      <c r="AN32" s="357"/>
      <c r="AO32" s="357"/>
      <c r="AP32" s="873"/>
      <c r="AQ32" s="873"/>
      <c r="AR32" s="868"/>
      <c r="AS32" s="868"/>
      <c r="AT32" s="873"/>
      <c r="AU32" s="873"/>
      <c r="AV32" s="868"/>
      <c r="AW32" s="868"/>
    </row>
    <row r="33" spans="3:58" ht="18" customHeight="1" thickBot="1">
      <c r="C33" s="443">
        <v>5</v>
      </c>
      <c r="D33" s="458">
        <f t="shared" si="6"/>
        <v>7.6338159937888177</v>
      </c>
      <c r="E33" s="458">
        <f t="shared" si="7"/>
        <v>7.7905659937888174</v>
      </c>
      <c r="F33" s="335">
        <f t="shared" si="0"/>
        <v>6.583333333333333</v>
      </c>
      <c r="G33" s="335">
        <f t="shared" si="1"/>
        <v>2.9164556962025316</v>
      </c>
      <c r="H33" s="335">
        <f t="shared" si="2"/>
        <v>19.2</v>
      </c>
      <c r="I33" s="335">
        <f t="shared" si="3"/>
        <v>2.0084995096436744</v>
      </c>
      <c r="J33" s="335">
        <f t="shared" si="4"/>
        <v>1.9218016890835159</v>
      </c>
      <c r="K33" s="335">
        <f t="shared" si="8"/>
        <v>9.6423155034324921</v>
      </c>
      <c r="L33" s="335">
        <f t="shared" si="9"/>
        <v>9.7123676828723333</v>
      </c>
      <c r="M33" s="476">
        <f t="shared" si="5"/>
        <v>5.5362577053200921</v>
      </c>
      <c r="N33" s="476">
        <f t="shared" si="10"/>
        <v>3.729549190222976</v>
      </c>
      <c r="O33" s="485" t="str">
        <f t="shared" si="11"/>
        <v>YES</v>
      </c>
      <c r="P33" s="488" t="str">
        <f t="shared" si="12"/>
        <v/>
      </c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511" t="s">
        <v>748</v>
      </c>
      <c r="AQ33" s="493">
        <f>B22</f>
        <v>10</v>
      </c>
      <c r="AR33" s="357" t="s">
        <v>8</v>
      </c>
      <c r="AS33" s="357"/>
      <c r="AT33" s="511" t="s">
        <v>748</v>
      </c>
      <c r="AU33" s="493">
        <f>B22</f>
        <v>10</v>
      </c>
      <c r="AV33" s="357" t="s">
        <v>8</v>
      </c>
      <c r="AW33" s="357"/>
    </row>
    <row r="34" spans="3:58" ht="18" customHeight="1" thickTop="1">
      <c r="C34" s="443">
        <v>5.0999999999999996</v>
      </c>
      <c r="D34" s="458">
        <f t="shared" si="6"/>
        <v>7.7433159937888183</v>
      </c>
      <c r="E34" s="458">
        <f t="shared" si="7"/>
        <v>7.900065993788818</v>
      </c>
      <c r="F34" s="335">
        <f t="shared" si="0"/>
        <v>6.6983333333333324</v>
      </c>
      <c r="G34" s="335">
        <f t="shared" si="1"/>
        <v>2.8663846728041804</v>
      </c>
      <c r="H34" s="335">
        <f t="shared" si="2"/>
        <v>19.2</v>
      </c>
      <c r="I34" s="335">
        <f t="shared" si="3"/>
        <v>1.9964905439656853</v>
      </c>
      <c r="J34" s="335">
        <f t="shared" si="4"/>
        <v>1.9108042545250978</v>
      </c>
      <c r="K34" s="335">
        <f t="shared" si="8"/>
        <v>9.7398065377545038</v>
      </c>
      <c r="L34" s="335">
        <f t="shared" si="9"/>
        <v>9.8108702483139165</v>
      </c>
      <c r="M34" s="476">
        <f t="shared" si="5"/>
        <v>5.5922334188064147</v>
      </c>
      <c r="N34" s="476">
        <f t="shared" si="10"/>
        <v>3.7673741753525443</v>
      </c>
      <c r="O34" s="485" t="str">
        <f t="shared" si="11"/>
        <v>YES</v>
      </c>
      <c r="P34" s="488" t="str">
        <f t="shared" si="12"/>
        <v/>
      </c>
      <c r="Q34" s="357"/>
      <c r="R34" s="903" t="s">
        <v>776</v>
      </c>
      <c r="S34" s="903"/>
      <c r="T34" s="903"/>
      <c r="U34" s="903"/>
      <c r="V34" s="511" t="s">
        <v>769</v>
      </c>
      <c r="W34" s="515"/>
      <c r="X34" s="515"/>
      <c r="Y34" s="515"/>
      <c r="Z34" s="515"/>
      <c r="AA34" s="515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  <c r="AT34" s="357"/>
      <c r="AU34" s="357"/>
      <c r="AV34" s="357"/>
      <c r="AW34" s="357"/>
    </row>
    <row r="35" spans="3:58" ht="18" customHeight="1">
      <c r="C35" s="443">
        <v>5.2</v>
      </c>
      <c r="D35" s="458">
        <f t="shared" ref="D35:D66" si="13">($B$10/12*(C35+$B$5/12)-$B$6)*$B$14</f>
        <v>7.8528159937888171</v>
      </c>
      <c r="E35" s="458">
        <f t="shared" si="7"/>
        <v>8.0095659937888168</v>
      </c>
      <c r="F35" s="335">
        <f t="shared" ref="F35:F66" si="14">IF($C35&lt;$B$26,$B$22/12+1.15*$C35,$B$22/12+1.15*$C35+$B$24)</f>
        <v>6.8133333333333326</v>
      </c>
      <c r="G35" s="335">
        <f t="shared" ref="G35:G66" si="15">IF($C35&lt;$B$26,$B$27*$B$20/F35,2*$B$27*$B$20/F35)</f>
        <v>2.8180039138943251</v>
      </c>
      <c r="H35" s="335">
        <f t="shared" ref="H35:H66" si="16">IF(F35&lt;$B$10/12,G35*F35,G35*$B$10/12)</f>
        <v>19.2</v>
      </c>
      <c r="I35" s="335">
        <f t="shared" ref="I35:I66" si="17">IF(C35+$B$5/12&lt;$B$25,H35/($B$21/12+1.15*(C35+$B$5/12)),2*H35/($B$21/12+$B$23+1.15*(C35+$B$5/12)))</f>
        <v>1.9846243297370632</v>
      </c>
      <c r="J35" s="335">
        <f t="shared" ref="J35:J66" si="18">IF(C35+$B$5/12+$B$8/12&lt;$B$25,H35/($B$21/12+1.15*(C35+$B$5/12+$B$8/12)),2*H35/($B$21/12+$B$23+1.15*(C35+$B$5/12+$B$8/12)))</f>
        <v>1.8999319685818541</v>
      </c>
      <c r="K35" s="335">
        <f t="shared" si="8"/>
        <v>9.8374403235258807</v>
      </c>
      <c r="L35" s="335">
        <f t="shared" si="9"/>
        <v>9.9094979623706703</v>
      </c>
      <c r="M35" s="476">
        <f t="shared" ref="M35:M66" si="19">K35/($B$11/12)</f>
        <v>5.6482910948473961</v>
      </c>
      <c r="N35" s="476">
        <f t="shared" si="10"/>
        <v>3.8052472175503378</v>
      </c>
      <c r="O35" s="485" t="str">
        <f t="shared" si="11"/>
        <v>YES</v>
      </c>
      <c r="P35" s="488" t="str">
        <f t="shared" si="12"/>
        <v/>
      </c>
      <c r="Q35" s="357"/>
      <c r="R35" s="903" t="s">
        <v>777</v>
      </c>
      <c r="S35" s="903"/>
      <c r="T35" s="903"/>
      <c r="U35" s="903"/>
      <c r="V35" s="511" t="s">
        <v>770</v>
      </c>
      <c r="W35" s="515"/>
      <c r="X35" s="515"/>
      <c r="Y35" s="515"/>
      <c r="Z35" s="515"/>
      <c r="AA35" s="515"/>
      <c r="AB35" s="357"/>
      <c r="AC35" s="357"/>
      <c r="AD35" s="357"/>
      <c r="AE35" s="357"/>
      <c r="AF35" s="902" t="s">
        <v>811</v>
      </c>
      <c r="AG35" s="902"/>
      <c r="AH35" s="866">
        <f>VLOOKUP(AA17,C3:N143,4)</f>
        <v>8.8833333333333329</v>
      </c>
      <c r="AI35" s="866"/>
      <c r="AJ35" s="510" t="s">
        <v>13</v>
      </c>
      <c r="AK35" s="357"/>
      <c r="AL35" s="357"/>
      <c r="AM35" s="357"/>
      <c r="AN35" s="357"/>
      <c r="AO35" s="357"/>
      <c r="AP35" s="357"/>
      <c r="AQ35" s="357"/>
      <c r="AR35" s="357"/>
      <c r="AS35" s="357"/>
      <c r="AT35" s="357"/>
      <c r="AU35" s="357"/>
      <c r="AV35" s="357"/>
      <c r="AW35" s="357"/>
    </row>
    <row r="36" spans="3:58" ht="18" customHeight="1">
      <c r="C36" s="443">
        <v>5.3000000000000007</v>
      </c>
      <c r="D36" s="458">
        <f t="shared" si="13"/>
        <v>7.9623159937888204</v>
      </c>
      <c r="E36" s="458">
        <f t="shared" si="7"/>
        <v>8.119065993788821</v>
      </c>
      <c r="F36" s="335">
        <f t="shared" si="14"/>
        <v>6.9283333333333337</v>
      </c>
      <c r="G36" s="335">
        <f t="shared" si="15"/>
        <v>2.7712292518643249</v>
      </c>
      <c r="H36" s="335">
        <f t="shared" si="16"/>
        <v>19.2</v>
      </c>
      <c r="I36" s="335">
        <f t="shared" si="17"/>
        <v>1.9728983366514676</v>
      </c>
      <c r="J36" s="335">
        <f t="shared" si="18"/>
        <v>1.8891827070905849</v>
      </c>
      <c r="K36" s="335">
        <f t="shared" si="8"/>
        <v>9.9352143304402887</v>
      </c>
      <c r="L36" s="335">
        <f t="shared" si="9"/>
        <v>10.008248700879406</v>
      </c>
      <c r="M36" s="476">
        <f t="shared" si="19"/>
        <v>5.7044292806355728</v>
      </c>
      <c r="N36" s="476">
        <f t="shared" si="10"/>
        <v>3.843167501137692</v>
      </c>
      <c r="O36" s="485" t="str">
        <f t="shared" si="11"/>
        <v>YES</v>
      </c>
      <c r="P36" s="488" t="str">
        <f t="shared" si="12"/>
        <v/>
      </c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873" t="s">
        <v>763</v>
      </c>
      <c r="AO36" s="873"/>
      <c r="AP36" s="357"/>
      <c r="AQ36" s="357"/>
      <c r="AR36" s="357"/>
      <c r="AS36" s="357"/>
      <c r="AT36" s="357"/>
      <c r="AU36" s="357"/>
      <c r="AV36" s="357"/>
      <c r="AW36" s="357"/>
    </row>
    <row r="37" spans="3:58" ht="18" customHeight="1">
      <c r="C37" s="443">
        <v>5.4</v>
      </c>
      <c r="D37" s="458">
        <f t="shared" si="13"/>
        <v>8.0718159937888192</v>
      </c>
      <c r="E37" s="458">
        <f t="shared" si="7"/>
        <v>8.2285659937888198</v>
      </c>
      <c r="F37" s="335">
        <f t="shared" si="14"/>
        <v>7.043333333333333</v>
      </c>
      <c r="G37" s="335">
        <f t="shared" si="15"/>
        <v>2.7259820160908661</v>
      </c>
      <c r="H37" s="335">
        <f t="shared" si="16"/>
        <v>19.2</v>
      </c>
      <c r="I37" s="335">
        <f t="shared" si="17"/>
        <v>1.9613100938517525</v>
      </c>
      <c r="J37" s="335">
        <f t="shared" si="18"/>
        <v>1.8785543936892313</v>
      </c>
      <c r="K37" s="335">
        <f t="shared" si="8"/>
        <v>10.033126087640571</v>
      </c>
      <c r="L37" s="335">
        <f t="shared" si="9"/>
        <v>10.107120387478052</v>
      </c>
      <c r="M37" s="476">
        <f t="shared" si="19"/>
        <v>5.7606465574969796</v>
      </c>
      <c r="N37" s="476">
        <f t="shared" si="10"/>
        <v>3.8811342287915722</v>
      </c>
      <c r="O37" s="485" t="str">
        <f t="shared" si="11"/>
        <v>YES</v>
      </c>
      <c r="P37" s="488" t="str">
        <f t="shared" si="12"/>
        <v/>
      </c>
      <c r="Q37" s="516" t="s">
        <v>774</v>
      </c>
      <c r="R37" s="510" t="s">
        <v>772</v>
      </c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  <c r="AT37" s="357"/>
      <c r="AU37" s="357"/>
      <c r="AV37" s="357"/>
      <c r="AW37" s="357"/>
    </row>
    <row r="38" spans="3:58" ht="18" customHeight="1">
      <c r="C38" s="443">
        <v>5.5</v>
      </c>
      <c r="D38" s="458">
        <f t="shared" si="13"/>
        <v>8.181315993788818</v>
      </c>
      <c r="E38" s="458">
        <f t="shared" si="7"/>
        <v>8.3380659937888186</v>
      </c>
      <c r="F38" s="335">
        <f t="shared" si="14"/>
        <v>7.1583333333333323</v>
      </c>
      <c r="G38" s="335">
        <f t="shared" si="15"/>
        <v>2.6821885913853323</v>
      </c>
      <c r="H38" s="335">
        <f t="shared" si="16"/>
        <v>19.2</v>
      </c>
      <c r="I38" s="335">
        <f t="shared" si="17"/>
        <v>1.9498571881942242</v>
      </c>
      <c r="J38" s="335">
        <f t="shared" si="18"/>
        <v>1.8680449984797811</v>
      </c>
      <c r="K38" s="335">
        <f t="shared" si="8"/>
        <v>10.131173181983042</v>
      </c>
      <c r="L38" s="335">
        <f t="shared" si="9"/>
        <v>10.2061109922686</v>
      </c>
      <c r="M38" s="476">
        <f t="shared" si="19"/>
        <v>5.8169415398945707</v>
      </c>
      <c r="N38" s="476">
        <f t="shared" si="10"/>
        <v>3.919146621031143</v>
      </c>
      <c r="O38" s="485" t="str">
        <f t="shared" si="11"/>
        <v>YES</v>
      </c>
      <c r="P38" s="488" t="str">
        <f t="shared" si="12"/>
        <v/>
      </c>
      <c r="Q38" s="357"/>
      <c r="R38" s="515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  <c r="AT38" s="357"/>
      <c r="AU38" s="357"/>
      <c r="AV38" s="357"/>
      <c r="AW38" s="357"/>
    </row>
    <row r="39" spans="3:58" ht="18" customHeight="1" thickBot="1">
      <c r="C39" s="443">
        <v>5.6</v>
      </c>
      <c r="D39" s="458">
        <f t="shared" si="13"/>
        <v>8.2908159937888186</v>
      </c>
      <c r="E39" s="458">
        <f t="shared" si="7"/>
        <v>8.4475659937888192</v>
      </c>
      <c r="F39" s="335">
        <f t="shared" si="14"/>
        <v>7.2733333333333325</v>
      </c>
      <c r="G39" s="335">
        <f t="shared" si="15"/>
        <v>2.6397800183318059</v>
      </c>
      <c r="H39" s="335">
        <f t="shared" si="16"/>
        <v>19.2</v>
      </c>
      <c r="I39" s="335">
        <f t="shared" si="17"/>
        <v>1.9385372625733577</v>
      </c>
      <c r="J39" s="335">
        <f t="shared" si="18"/>
        <v>1.8576525367358045</v>
      </c>
      <c r="K39" s="335">
        <f t="shared" si="8"/>
        <v>10.229353256362176</v>
      </c>
      <c r="L39" s="335">
        <f t="shared" si="9"/>
        <v>10.305218530524623</v>
      </c>
      <c r="M39" s="476">
        <f t="shared" si="19"/>
        <v>5.8733128744663219</v>
      </c>
      <c r="N39" s="476">
        <f t="shared" si="10"/>
        <v>3.9572039157214558</v>
      </c>
      <c r="O39" s="485" t="str">
        <f t="shared" si="11"/>
        <v>YES</v>
      </c>
      <c r="P39" s="488" t="str">
        <f t="shared" si="12"/>
        <v/>
      </c>
      <c r="Q39" s="357"/>
      <c r="R39" s="903" t="s">
        <v>776</v>
      </c>
      <c r="S39" s="903"/>
      <c r="T39" s="903"/>
      <c r="U39" s="903"/>
      <c r="V39" s="357"/>
      <c r="W39" s="357" t="s">
        <v>835</v>
      </c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494"/>
      <c r="AP39" s="494"/>
      <c r="AQ39" s="494"/>
      <c r="AR39" s="494"/>
      <c r="AS39" s="494"/>
      <c r="AT39" s="494"/>
      <c r="AU39" s="494"/>
      <c r="AV39" s="494"/>
      <c r="AW39" s="494"/>
    </row>
    <row r="40" spans="3:58" ht="18" customHeight="1">
      <c r="C40" s="443">
        <v>5.7</v>
      </c>
      <c r="D40" s="458">
        <f t="shared" si="13"/>
        <v>8.4003159937888174</v>
      </c>
      <c r="E40" s="458">
        <f t="shared" si="7"/>
        <v>8.557065993788818</v>
      </c>
      <c r="F40" s="335">
        <f t="shared" si="14"/>
        <v>7.3883333333333328</v>
      </c>
      <c r="G40" s="335">
        <f t="shared" si="15"/>
        <v>2.5986916309496957</v>
      </c>
      <c r="H40" s="335">
        <f t="shared" si="16"/>
        <v>19.2</v>
      </c>
      <c r="I40" s="335">
        <f t="shared" si="17"/>
        <v>1.9273480143045361</v>
      </c>
      <c r="J40" s="335">
        <f t="shared" si="18"/>
        <v>1.8473750676528955</v>
      </c>
      <c r="K40" s="335">
        <f t="shared" si="8"/>
        <v>10.327664008093354</v>
      </c>
      <c r="L40" s="335">
        <f t="shared" si="9"/>
        <v>10.404441061441714</v>
      </c>
      <c r="M40" s="476">
        <f t="shared" si="19"/>
        <v>5.9297592390966631</v>
      </c>
      <c r="N40" s="476">
        <f t="shared" si="10"/>
        <v>3.9953053675936183</v>
      </c>
      <c r="O40" s="485" t="str">
        <f t="shared" si="11"/>
        <v>YES</v>
      </c>
      <c r="P40" s="488">
        <f t="shared" si="12"/>
        <v>5.7</v>
      </c>
      <c r="Q40" s="357"/>
      <c r="R40" s="903" t="s">
        <v>777</v>
      </c>
      <c r="S40" s="903"/>
      <c r="T40" s="903"/>
      <c r="U40" s="903"/>
      <c r="V40" s="357"/>
      <c r="W40" s="357" t="s">
        <v>836</v>
      </c>
      <c r="X40" s="357"/>
      <c r="Y40" s="357"/>
      <c r="Z40" s="357"/>
      <c r="AA40" s="357"/>
      <c r="AB40" s="357"/>
      <c r="AC40" s="357"/>
      <c r="AD40" s="357"/>
      <c r="AE40" s="357"/>
      <c r="AF40" s="904" t="s">
        <v>751</v>
      </c>
      <c r="AG40" s="904"/>
      <c r="AH40" s="866">
        <f>VLOOKUP(AA17,C3:N143,5)</f>
        <v>2.1613508442776737</v>
      </c>
      <c r="AI40" s="866"/>
      <c r="AJ40" s="510" t="s">
        <v>773</v>
      </c>
      <c r="AK40" s="357"/>
      <c r="AL40" s="357"/>
      <c r="AM40" s="357"/>
      <c r="AN40" s="357"/>
      <c r="AO40" s="357"/>
      <c r="AP40" s="357"/>
      <c r="AQ40" s="357"/>
      <c r="AR40" s="517" t="s">
        <v>752</v>
      </c>
      <c r="AS40" s="882" t="str">
        <f>IF(B19=2,"4 ft","14 ft")</f>
        <v>14 ft</v>
      </c>
      <c r="AT40" s="882"/>
      <c r="AU40" s="357"/>
      <c r="AV40" s="357"/>
      <c r="AW40" s="357"/>
      <c r="BB40" s="506" t="s">
        <v>799</v>
      </c>
      <c r="BC40" s="506"/>
      <c r="BD40" s="867">
        <f>IF(AA17&gt;=B26,2*B27*B20/AH35,B27*B20/AH35)</f>
        <v>2.1613508442776737</v>
      </c>
      <c r="BE40" s="867"/>
      <c r="BF40" s="506" t="s">
        <v>773</v>
      </c>
    </row>
    <row r="41" spans="3:58" ht="18" customHeight="1">
      <c r="C41" s="443">
        <v>5.8000000000000007</v>
      </c>
      <c r="D41" s="458">
        <f t="shared" si="13"/>
        <v>8.5098159937888198</v>
      </c>
      <c r="E41" s="458">
        <f t="shared" si="7"/>
        <v>8.6665659937888204</v>
      </c>
      <c r="F41" s="335">
        <f t="shared" si="14"/>
        <v>7.503333333333333</v>
      </c>
      <c r="G41" s="335">
        <f t="shared" si="15"/>
        <v>2.5588627276765883</v>
      </c>
      <c r="H41" s="335">
        <f t="shared" si="16"/>
        <v>19.2</v>
      </c>
      <c r="I41" s="335">
        <f t="shared" si="17"/>
        <v>1.9162871935624726</v>
      </c>
      <c r="J41" s="335">
        <f t="shared" si="18"/>
        <v>1.8372106931403627</v>
      </c>
      <c r="K41" s="335">
        <f t="shared" si="8"/>
        <v>10.426103187351293</v>
      </c>
      <c r="L41" s="335">
        <f t="shared" si="9"/>
        <v>10.503776686929182</v>
      </c>
      <c r="M41" s="476">
        <f t="shared" si="19"/>
        <v>5.9862793420198814</v>
      </c>
      <c r="N41" s="476">
        <f t="shared" si="10"/>
        <v>4.0334502477808059</v>
      </c>
      <c r="O41" s="485" t="str">
        <f t="shared" si="11"/>
        <v>NO</v>
      </c>
      <c r="P41" s="488" t="str">
        <f t="shared" si="12"/>
        <v/>
      </c>
      <c r="Q41" s="357"/>
      <c r="R41" s="515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  <c r="AT41" s="357"/>
      <c r="AU41" s="357"/>
      <c r="AV41" s="357"/>
      <c r="AW41" s="357"/>
    </row>
    <row r="42" spans="3:58" ht="18" customHeight="1">
      <c r="C42" s="443">
        <v>5.9</v>
      </c>
      <c r="D42" s="458">
        <f t="shared" si="13"/>
        <v>8.6193159937888186</v>
      </c>
      <c r="E42" s="458">
        <f t="shared" si="7"/>
        <v>8.7760659937888192</v>
      </c>
      <c r="F42" s="335">
        <f t="shared" si="14"/>
        <v>7.6183333333333332</v>
      </c>
      <c r="G42" s="335">
        <f t="shared" si="15"/>
        <v>2.5202362721505143</v>
      </c>
      <c r="H42" s="335">
        <f t="shared" si="16"/>
        <v>19.2</v>
      </c>
      <c r="I42" s="335">
        <f t="shared" si="17"/>
        <v>1.9053526018731006</v>
      </c>
      <c r="J42" s="335">
        <f t="shared" si="18"/>
        <v>1.8271575566525902</v>
      </c>
      <c r="K42" s="335">
        <f t="shared" si="8"/>
        <v>10.52466859566192</v>
      </c>
      <c r="L42" s="335">
        <f t="shared" si="9"/>
        <v>10.60322355044141</v>
      </c>
      <c r="M42" s="476">
        <f t="shared" si="19"/>
        <v>6.0428719209542132</v>
      </c>
      <c r="N42" s="476">
        <f t="shared" si="10"/>
        <v>4.0716378433695013</v>
      </c>
      <c r="O42" s="485" t="str">
        <f t="shared" si="11"/>
        <v>NO</v>
      </c>
      <c r="P42" s="488" t="str">
        <f t="shared" si="12"/>
        <v/>
      </c>
      <c r="Q42" s="516" t="s">
        <v>775</v>
      </c>
      <c r="R42" s="518" t="s">
        <v>813</v>
      </c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  <c r="AT42" s="357"/>
      <c r="AU42" s="357"/>
      <c r="AV42" s="357"/>
      <c r="AW42" s="357"/>
    </row>
    <row r="43" spans="3:58" ht="18" customHeight="1">
      <c r="C43" s="443">
        <v>6</v>
      </c>
      <c r="D43" s="458">
        <f t="shared" si="13"/>
        <v>8.7288159937888192</v>
      </c>
      <c r="E43" s="458">
        <f t="shared" si="7"/>
        <v>8.8855659937888198</v>
      </c>
      <c r="F43" s="335">
        <f t="shared" si="14"/>
        <v>7.7333333333333325</v>
      </c>
      <c r="G43" s="335">
        <f t="shared" si="15"/>
        <v>2.4827586206896552</v>
      </c>
      <c r="H43" s="335">
        <f t="shared" si="16"/>
        <v>19.2</v>
      </c>
      <c r="I43" s="335">
        <f t="shared" si="17"/>
        <v>1.8945420906567993</v>
      </c>
      <c r="J43" s="335">
        <f t="shared" si="18"/>
        <v>1.8172138420585626</v>
      </c>
      <c r="K43" s="335">
        <f t="shared" si="8"/>
        <v>10.623358084445618</v>
      </c>
      <c r="L43" s="335">
        <f t="shared" si="9"/>
        <v>10.702779835847382</v>
      </c>
      <c r="M43" s="476">
        <f t="shared" si="19"/>
        <v>6.0995357422654273</v>
      </c>
      <c r="N43" s="476">
        <f t="shared" si="10"/>
        <v>4.1098674569653948</v>
      </c>
      <c r="O43" s="485" t="str">
        <f t="shared" si="11"/>
        <v>NO</v>
      </c>
      <c r="P43" s="488" t="str">
        <f t="shared" si="12"/>
        <v/>
      </c>
      <c r="Q43" s="357"/>
      <c r="R43" s="357"/>
      <c r="S43" s="512"/>
      <c r="T43" s="512"/>
      <c r="U43" s="512"/>
      <c r="V43" s="512"/>
      <c r="W43" s="512"/>
      <c r="X43" s="512"/>
      <c r="Y43" s="512"/>
      <c r="Z43" s="512"/>
      <c r="AA43" s="512"/>
      <c r="AB43" s="512"/>
      <c r="AC43" s="512"/>
      <c r="AD43" s="512"/>
      <c r="AE43" s="512"/>
      <c r="AF43" s="512"/>
      <c r="AG43" s="512"/>
      <c r="AH43" s="512"/>
      <c r="AI43" s="512"/>
      <c r="AJ43" s="512"/>
      <c r="AK43" s="512"/>
      <c r="AL43" s="512"/>
      <c r="AM43" s="512"/>
      <c r="AN43" s="512"/>
      <c r="AO43" s="512"/>
      <c r="AP43" s="512"/>
      <c r="AQ43" s="512"/>
      <c r="AR43" s="512"/>
      <c r="AS43" s="512"/>
      <c r="AT43" s="512"/>
      <c r="AU43" s="512"/>
      <c r="AV43" s="512"/>
      <c r="AW43" s="512"/>
    </row>
    <row r="44" spans="3:58" ht="18" customHeight="1">
      <c r="C44" s="443">
        <v>6.1000000000000005</v>
      </c>
      <c r="D44" s="458">
        <f t="shared" si="13"/>
        <v>8.838315993788818</v>
      </c>
      <c r="E44" s="458">
        <f t="shared" si="7"/>
        <v>8.9950659937888187</v>
      </c>
      <c r="F44" s="335">
        <f t="shared" si="14"/>
        <v>7.8483333333333327</v>
      </c>
      <c r="G44" s="335">
        <f t="shared" si="15"/>
        <v>2.4463792737311532</v>
      </c>
      <c r="H44" s="335">
        <f t="shared" si="16"/>
        <v>19.2</v>
      </c>
      <c r="I44" s="335">
        <f t="shared" si="17"/>
        <v>1.8838535598209358</v>
      </c>
      <c r="J44" s="335">
        <f t="shared" si="18"/>
        <v>1.8073777725480966</v>
      </c>
      <c r="K44" s="335">
        <f t="shared" si="8"/>
        <v>10.722169553609755</v>
      </c>
      <c r="L44" s="335">
        <f t="shared" si="9"/>
        <v>10.802443766336916</v>
      </c>
      <c r="M44" s="476">
        <f t="shared" si="19"/>
        <v>6.1562696001587112</v>
      </c>
      <c r="N44" s="476">
        <f t="shared" si="10"/>
        <v>4.1481384062733762</v>
      </c>
      <c r="O44" s="485" t="str">
        <f t="shared" si="11"/>
        <v>NO</v>
      </c>
      <c r="P44" s="488" t="str">
        <f t="shared" si="12"/>
        <v/>
      </c>
      <c r="Q44" s="357"/>
      <c r="R44" s="519" t="s">
        <v>791</v>
      </c>
      <c r="S44" s="520"/>
      <c r="T44" s="520"/>
      <c r="U44" s="520"/>
      <c r="V44" s="512"/>
      <c r="W44" s="512"/>
      <c r="X44" s="357"/>
      <c r="Y44" s="518" t="s">
        <v>814</v>
      </c>
      <c r="Z44" s="512"/>
      <c r="AA44" s="512"/>
      <c r="AB44" s="512"/>
      <c r="AC44" s="512"/>
      <c r="AD44" s="512"/>
      <c r="AE44" s="512"/>
      <c r="AF44" s="512"/>
      <c r="AG44" s="512"/>
      <c r="AH44" s="512"/>
      <c r="AI44" s="512"/>
      <c r="AJ44" s="512"/>
      <c r="AK44" s="512"/>
      <c r="AL44" s="512"/>
      <c r="AM44" s="512"/>
      <c r="AN44" s="512"/>
      <c r="AO44" s="512"/>
      <c r="AP44" s="512"/>
      <c r="AQ44" s="512"/>
      <c r="AR44" s="512"/>
      <c r="AS44" s="512"/>
      <c r="AT44" s="512"/>
      <c r="AU44" s="512"/>
      <c r="AV44" s="512"/>
      <c r="AW44" s="512"/>
    </row>
    <row r="45" spans="3:58" ht="18" customHeight="1">
      <c r="C45" s="443">
        <v>6.2</v>
      </c>
      <c r="D45" s="458">
        <f t="shared" si="13"/>
        <v>8.9478159937888169</v>
      </c>
      <c r="E45" s="458">
        <f t="shared" si="7"/>
        <v>9.1045659937888175</v>
      </c>
      <c r="F45" s="335">
        <f t="shared" si="14"/>
        <v>7.9633333333333329</v>
      </c>
      <c r="G45" s="335">
        <f t="shared" si="15"/>
        <v>2.4110506488070325</v>
      </c>
      <c r="H45" s="335">
        <f t="shared" si="16"/>
        <v>19.2</v>
      </c>
      <c r="I45" s="335">
        <f t="shared" si="17"/>
        <v>1.8732849563997807</v>
      </c>
      <c r="J45" s="335">
        <f t="shared" si="18"/>
        <v>1.79764760957341</v>
      </c>
      <c r="K45" s="335">
        <f t="shared" si="8"/>
        <v>10.821100950188598</v>
      </c>
      <c r="L45" s="335">
        <f t="shared" si="9"/>
        <v>10.902213603362227</v>
      </c>
      <c r="M45" s="476">
        <f t="shared" si="19"/>
        <v>6.2130723158977599</v>
      </c>
      <c r="N45" s="476">
        <f t="shared" si="10"/>
        <v>4.186450023691096</v>
      </c>
      <c r="O45" s="485" t="str">
        <f t="shared" si="11"/>
        <v>NO</v>
      </c>
      <c r="P45" s="488" t="str">
        <f t="shared" si="12"/>
        <v/>
      </c>
      <c r="Q45" s="357"/>
      <c r="R45" s="519" t="s">
        <v>792</v>
      </c>
      <c r="S45" s="520"/>
      <c r="T45" s="520"/>
      <c r="U45" s="520"/>
      <c r="V45" s="357"/>
      <c r="W45" s="357"/>
      <c r="X45" s="357"/>
      <c r="Y45" s="518" t="s">
        <v>815</v>
      </c>
      <c r="Z45" s="357"/>
      <c r="AA45" s="357"/>
      <c r="AB45" s="357"/>
      <c r="AC45" s="357"/>
      <c r="AD45" s="357"/>
      <c r="AE45" s="357"/>
      <c r="AF45" s="510" t="s">
        <v>810</v>
      </c>
      <c r="AG45" s="510"/>
      <c r="AH45" s="866">
        <f>VLOOKUP(AA17,C3:N143,6)</f>
        <v>19.2</v>
      </c>
      <c r="AI45" s="866"/>
      <c r="AJ45" s="510" t="s">
        <v>747</v>
      </c>
      <c r="AK45" s="357"/>
      <c r="AL45" s="357"/>
      <c r="AM45" s="357"/>
      <c r="AN45" s="357"/>
      <c r="AO45" s="357"/>
      <c r="AP45" s="357"/>
      <c r="AQ45" s="357"/>
      <c r="AR45" s="357"/>
      <c r="AS45" s="357"/>
      <c r="AT45" s="357"/>
      <c r="AU45" s="357"/>
      <c r="AV45" s="515"/>
      <c r="AW45" s="515"/>
    </row>
    <row r="46" spans="3:58" ht="18" customHeight="1">
      <c r="C46" s="443">
        <v>6.3</v>
      </c>
      <c r="D46" s="458">
        <f t="shared" si="13"/>
        <v>9.0573159937888192</v>
      </c>
      <c r="E46" s="458">
        <f t="shared" si="7"/>
        <v>9.2140659937888199</v>
      </c>
      <c r="F46" s="335">
        <f t="shared" si="14"/>
        <v>8.0783333333333331</v>
      </c>
      <c r="G46" s="335">
        <f t="shared" si="15"/>
        <v>2.3767278729110788</v>
      </c>
      <c r="H46" s="335">
        <f t="shared" si="16"/>
        <v>19.2</v>
      </c>
      <c r="I46" s="335">
        <f t="shared" si="17"/>
        <v>1.862834273239949</v>
      </c>
      <c r="J46" s="335">
        <f t="shared" si="18"/>
        <v>1.7880216518246901</v>
      </c>
      <c r="K46" s="335">
        <f t="shared" si="8"/>
        <v>10.920150267028768</v>
      </c>
      <c r="L46" s="335">
        <f t="shared" si="9"/>
        <v>11.002087645613511</v>
      </c>
      <c r="M46" s="476">
        <f t="shared" si="19"/>
        <v>6.2699427370500116</v>
      </c>
      <c r="N46" s="476">
        <f t="shared" si="10"/>
        <v>4.2248016559155879</v>
      </c>
      <c r="O46" s="485" t="str">
        <f t="shared" si="11"/>
        <v>NO</v>
      </c>
      <c r="P46" s="488" t="str">
        <f t="shared" si="12"/>
        <v/>
      </c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515"/>
      <c r="AL46" s="515"/>
      <c r="AM46" s="357"/>
      <c r="AN46" s="357"/>
      <c r="AO46" s="357"/>
      <c r="AP46" s="357"/>
      <c r="AQ46" s="357"/>
      <c r="AR46" s="357"/>
      <c r="AS46" s="357"/>
      <c r="AT46" s="357"/>
      <c r="AU46" s="357"/>
      <c r="AV46" s="357"/>
      <c r="AW46" s="357"/>
    </row>
    <row r="47" spans="3:58" ht="18" customHeight="1">
      <c r="C47" s="443">
        <v>6.4</v>
      </c>
      <c r="D47" s="458">
        <f t="shared" si="13"/>
        <v>9.1668159937888198</v>
      </c>
      <c r="E47" s="458">
        <f t="shared" si="7"/>
        <v>9.3235659937888204</v>
      </c>
      <c r="F47" s="335">
        <f t="shared" si="14"/>
        <v>8.1933333333333334</v>
      </c>
      <c r="G47" s="335">
        <f t="shared" si="15"/>
        <v>2.3433685923515051</v>
      </c>
      <c r="H47" s="335">
        <f t="shared" si="16"/>
        <v>19.2</v>
      </c>
      <c r="I47" s="335">
        <f t="shared" si="17"/>
        <v>1.8524995477296025</v>
      </c>
      <c r="J47" s="335">
        <f t="shared" si="18"/>
        <v>1.7784982342384068</v>
      </c>
      <c r="K47" s="335">
        <f t="shared" si="8"/>
        <v>11.019315541518422</v>
      </c>
      <c r="L47" s="335">
        <f t="shared" si="9"/>
        <v>11.102064228027228</v>
      </c>
      <c r="M47" s="476">
        <f t="shared" si="19"/>
        <v>6.3268797367569896</v>
      </c>
      <c r="N47" s="476">
        <f t="shared" si="10"/>
        <v>4.2631926635624557</v>
      </c>
      <c r="O47" s="485" t="str">
        <f t="shared" si="11"/>
        <v>NO</v>
      </c>
      <c r="P47" s="488" t="str">
        <f t="shared" si="12"/>
        <v/>
      </c>
      <c r="Q47" s="885" t="s">
        <v>780</v>
      </c>
      <c r="R47" s="868" t="s">
        <v>783</v>
      </c>
      <c r="S47" s="868"/>
      <c r="T47" s="868"/>
      <c r="U47" s="868"/>
      <c r="V47" s="868"/>
      <c r="W47" s="868"/>
      <c r="X47" s="868"/>
      <c r="Y47" s="868"/>
      <c r="Z47" s="868"/>
      <c r="AA47" s="868"/>
      <c r="AB47" s="868"/>
      <c r="AC47" s="868"/>
      <c r="AD47" s="868"/>
      <c r="AE47" s="868"/>
      <c r="AF47" s="868"/>
      <c r="AG47" s="868"/>
      <c r="AH47" s="897" t="s">
        <v>759</v>
      </c>
      <c r="AI47" s="897"/>
      <c r="AJ47" s="897"/>
      <c r="AK47" s="873" t="s">
        <v>768</v>
      </c>
      <c r="AL47" s="874">
        <f>B25</f>
        <v>3.7681159420289854</v>
      </c>
      <c r="AM47" s="873"/>
      <c r="AN47" s="868" t="s">
        <v>13</v>
      </c>
      <c r="AO47" s="357"/>
      <c r="AP47" s="357"/>
      <c r="AQ47" s="357"/>
      <c r="AR47" s="521">
        <f>B20*2</f>
        <v>32</v>
      </c>
      <c r="AS47" s="521" t="s">
        <v>747</v>
      </c>
      <c r="AT47" s="521"/>
      <c r="AU47" s="357"/>
      <c r="AV47" s="357"/>
      <c r="AW47" s="357"/>
    </row>
    <row r="48" spans="3:58" ht="18" customHeight="1">
      <c r="C48" s="443">
        <v>6.5</v>
      </c>
      <c r="D48" s="458">
        <f t="shared" si="13"/>
        <v>9.2763159937888187</v>
      </c>
      <c r="E48" s="458">
        <f t="shared" si="7"/>
        <v>9.4330659937888193</v>
      </c>
      <c r="F48" s="335">
        <f t="shared" si="14"/>
        <v>8.3083333333333336</v>
      </c>
      <c r="G48" s="335">
        <f t="shared" si="15"/>
        <v>2.3109327983951853</v>
      </c>
      <c r="H48" s="335">
        <f t="shared" si="16"/>
        <v>19.2</v>
      </c>
      <c r="I48" s="335">
        <f t="shared" si="17"/>
        <v>1.8422788605697153</v>
      </c>
      <c r="J48" s="335">
        <f t="shared" si="18"/>
        <v>1.7690757270371438</v>
      </c>
      <c r="K48" s="335">
        <f t="shared" si="8"/>
        <v>11.118594854358534</v>
      </c>
      <c r="L48" s="335">
        <f t="shared" si="9"/>
        <v>11.202141720825963</v>
      </c>
      <c r="M48" s="476">
        <f t="shared" si="19"/>
        <v>6.3838822130288237</v>
      </c>
      <c r="N48" s="476">
        <f t="shared" si="10"/>
        <v>4.3016224207971705</v>
      </c>
      <c r="O48" s="485" t="str">
        <f t="shared" si="11"/>
        <v>NO</v>
      </c>
      <c r="P48" s="488" t="str">
        <f t="shared" si="12"/>
        <v/>
      </c>
      <c r="Q48" s="885"/>
      <c r="R48" s="868"/>
      <c r="S48" s="868"/>
      <c r="T48" s="868"/>
      <c r="U48" s="868"/>
      <c r="V48" s="868"/>
      <c r="W48" s="868"/>
      <c r="X48" s="868"/>
      <c r="Y48" s="868"/>
      <c r="Z48" s="868"/>
      <c r="AA48" s="868"/>
      <c r="AB48" s="868"/>
      <c r="AC48" s="868"/>
      <c r="AD48" s="868"/>
      <c r="AE48" s="868"/>
      <c r="AF48" s="868"/>
      <c r="AG48" s="868"/>
      <c r="AH48" s="898">
        <v>1.1499999999999999</v>
      </c>
      <c r="AI48" s="898"/>
      <c r="AJ48" s="898"/>
      <c r="AK48" s="873"/>
      <c r="AL48" s="873"/>
      <c r="AM48" s="873"/>
      <c r="AN48" s="868"/>
      <c r="AO48" s="357"/>
      <c r="AP48" s="873" t="s">
        <v>750</v>
      </c>
      <c r="AQ48" s="873">
        <f>B20</f>
        <v>16</v>
      </c>
      <c r="AR48" s="868" t="s">
        <v>747</v>
      </c>
      <c r="AS48" s="868"/>
      <c r="AT48" s="873" t="s">
        <v>789</v>
      </c>
      <c r="AU48" s="873">
        <f>B20</f>
        <v>16</v>
      </c>
      <c r="AV48" s="868" t="s">
        <v>747</v>
      </c>
      <c r="AW48" s="868"/>
    </row>
    <row r="49" spans="3:59" ht="18" customHeight="1">
      <c r="C49" s="443">
        <v>6.6000000000000005</v>
      </c>
      <c r="D49" s="458">
        <f t="shared" si="13"/>
        <v>9.3858159937888175</v>
      </c>
      <c r="E49" s="458">
        <f t="shared" si="7"/>
        <v>9.5425659937888181</v>
      </c>
      <c r="F49" s="335">
        <f t="shared" si="14"/>
        <v>8.4233333333333338</v>
      </c>
      <c r="G49" s="335">
        <f t="shared" si="15"/>
        <v>2.2793826671943012</v>
      </c>
      <c r="H49" s="335">
        <f t="shared" si="16"/>
        <v>19.2</v>
      </c>
      <c r="I49" s="335">
        <f t="shared" si="17"/>
        <v>1.8321703345857936</v>
      </c>
      <c r="J49" s="335">
        <f t="shared" si="18"/>
        <v>1.7597525347997938</v>
      </c>
      <c r="K49" s="335">
        <f t="shared" si="8"/>
        <v>11.217986328374611</v>
      </c>
      <c r="L49" s="335">
        <f t="shared" si="9"/>
        <v>11.302318528588613</v>
      </c>
      <c r="M49" s="476">
        <f t="shared" si="19"/>
        <v>6.440949088061978</v>
      </c>
      <c r="N49" s="476">
        <f t="shared" si="10"/>
        <v>4.3400903149780277</v>
      </c>
      <c r="O49" s="485" t="str">
        <f t="shared" si="11"/>
        <v>NO</v>
      </c>
      <c r="P49" s="488" t="str">
        <f t="shared" si="12"/>
        <v/>
      </c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873"/>
      <c r="AQ49" s="873"/>
      <c r="AR49" s="868"/>
      <c r="AS49" s="868"/>
      <c r="AT49" s="873"/>
      <c r="AU49" s="873"/>
      <c r="AV49" s="868"/>
      <c r="AW49" s="868"/>
    </row>
    <row r="50" spans="3:59" ht="18" customHeight="1" thickBot="1">
      <c r="C50" s="443">
        <v>6.7</v>
      </c>
      <c r="D50" s="458">
        <f t="shared" si="13"/>
        <v>9.4953159937888181</v>
      </c>
      <c r="E50" s="458">
        <f t="shared" si="7"/>
        <v>9.6520659937888187</v>
      </c>
      <c r="F50" s="335">
        <f t="shared" si="14"/>
        <v>8.5383333333333322</v>
      </c>
      <c r="G50" s="335">
        <f t="shared" si="15"/>
        <v>2.2486824126488387</v>
      </c>
      <c r="H50" s="335">
        <f t="shared" si="16"/>
        <v>19.2</v>
      </c>
      <c r="I50" s="335">
        <f t="shared" si="17"/>
        <v>1.8221721335785039</v>
      </c>
      <c r="J50" s="335">
        <f t="shared" si="18"/>
        <v>1.7505270955610008</v>
      </c>
      <c r="K50" s="335">
        <f t="shared" si="8"/>
        <v>11.317488127367323</v>
      </c>
      <c r="L50" s="335">
        <f t="shared" si="9"/>
        <v>11.40259308934982</v>
      </c>
      <c r="M50" s="476">
        <f t="shared" si="19"/>
        <v>6.4980793075793253</v>
      </c>
      <c r="N50" s="476">
        <f t="shared" si="10"/>
        <v>4.3785957463103307</v>
      </c>
      <c r="O50" s="485" t="str">
        <f t="shared" si="11"/>
        <v>NO</v>
      </c>
      <c r="P50" s="488" t="str">
        <f t="shared" si="12"/>
        <v/>
      </c>
      <c r="Q50" s="514" t="s">
        <v>800</v>
      </c>
      <c r="R50" s="893" t="s">
        <v>801</v>
      </c>
      <c r="S50" s="893"/>
      <c r="T50" s="893"/>
      <c r="U50" s="893"/>
      <c r="V50" s="893"/>
      <c r="W50" s="893"/>
      <c r="X50" s="893"/>
      <c r="Y50" s="893"/>
      <c r="Z50" s="893"/>
      <c r="AA50" s="893"/>
      <c r="AB50" s="893"/>
      <c r="AC50" s="893"/>
      <c r="AD50" s="893"/>
      <c r="AE50" s="893"/>
      <c r="AF50" s="893"/>
      <c r="AG50" s="893"/>
      <c r="AH50" s="893"/>
      <c r="AI50" s="893"/>
      <c r="AJ50" s="893"/>
      <c r="AK50" s="893"/>
      <c r="AL50" s="893"/>
      <c r="AM50" s="512"/>
      <c r="AN50" s="512"/>
      <c r="AO50" s="872" t="s">
        <v>749</v>
      </c>
      <c r="AP50" s="872"/>
      <c r="AQ50" s="493">
        <f>B21</f>
        <v>20</v>
      </c>
      <c r="AR50" s="357" t="s">
        <v>8</v>
      </c>
      <c r="AS50" s="872" t="s">
        <v>749</v>
      </c>
      <c r="AT50" s="872"/>
      <c r="AU50" s="493">
        <f>B21</f>
        <v>20</v>
      </c>
      <c r="AV50" s="357" t="s">
        <v>8</v>
      </c>
      <c r="AW50" s="357"/>
    </row>
    <row r="51" spans="3:59" ht="18" customHeight="1" thickTop="1">
      <c r="C51" s="443">
        <v>6.8000000000000007</v>
      </c>
      <c r="D51" s="458">
        <f t="shared" si="13"/>
        <v>9.6048159937888204</v>
      </c>
      <c r="E51" s="458">
        <f t="shared" si="7"/>
        <v>9.7615659937888211</v>
      </c>
      <c r="F51" s="335">
        <f t="shared" si="14"/>
        <v>8.6533333333333342</v>
      </c>
      <c r="G51" s="335">
        <f t="shared" si="15"/>
        <v>2.2187981510015407</v>
      </c>
      <c r="H51" s="335">
        <f t="shared" si="16"/>
        <v>19.2</v>
      </c>
      <c r="I51" s="335">
        <f t="shared" si="17"/>
        <v>1.8122824612117279</v>
      </c>
      <c r="J51" s="335">
        <f t="shared" si="18"/>
        <v>1.741397879938779</v>
      </c>
      <c r="K51" s="335">
        <f t="shared" si="8"/>
        <v>11.417098455000549</v>
      </c>
      <c r="L51" s="335">
        <f t="shared" si="9"/>
        <v>11.5029638737276</v>
      </c>
      <c r="M51" s="476">
        <f t="shared" si="19"/>
        <v>6.5552718401917032</v>
      </c>
      <c r="N51" s="476">
        <f t="shared" si="10"/>
        <v>4.4171381275113983</v>
      </c>
      <c r="O51" s="485" t="str">
        <f t="shared" si="11"/>
        <v>NO</v>
      </c>
      <c r="P51" s="488" t="str">
        <f t="shared" si="12"/>
        <v/>
      </c>
      <c r="Q51" s="357"/>
      <c r="R51" s="893"/>
      <c r="S51" s="893"/>
      <c r="T51" s="893"/>
      <c r="U51" s="893"/>
      <c r="V51" s="893"/>
      <c r="W51" s="893"/>
      <c r="X51" s="893"/>
      <c r="Y51" s="893"/>
      <c r="Z51" s="893"/>
      <c r="AA51" s="893"/>
      <c r="AB51" s="893"/>
      <c r="AC51" s="893"/>
      <c r="AD51" s="893"/>
      <c r="AE51" s="893"/>
      <c r="AF51" s="893"/>
      <c r="AG51" s="893"/>
      <c r="AH51" s="893"/>
      <c r="AI51" s="893"/>
      <c r="AJ51" s="893"/>
      <c r="AK51" s="893"/>
      <c r="AL51" s="893"/>
      <c r="AM51" s="512"/>
      <c r="AN51" s="357"/>
      <c r="AO51" s="357"/>
      <c r="AP51" s="357"/>
      <c r="AQ51" s="357"/>
      <c r="AR51" s="357"/>
      <c r="AS51" s="357"/>
      <c r="AT51" s="357"/>
      <c r="AU51" s="357"/>
      <c r="AV51" s="357"/>
      <c r="AW51" s="357"/>
    </row>
    <row r="52" spans="3:59" ht="18" customHeight="1">
      <c r="C52" s="443">
        <v>6.9</v>
      </c>
      <c r="D52" s="458">
        <f t="shared" si="13"/>
        <v>9.7143159937888193</v>
      </c>
      <c r="E52" s="458">
        <f t="shared" si="7"/>
        <v>9.8710659937888199</v>
      </c>
      <c r="F52" s="335">
        <f t="shared" si="14"/>
        <v>8.7683333333333326</v>
      </c>
      <c r="G52" s="335">
        <f t="shared" si="15"/>
        <v>2.1896977760881962</v>
      </c>
      <c r="H52" s="335">
        <f t="shared" si="16"/>
        <v>19.2</v>
      </c>
      <c r="I52" s="335">
        <f t="shared" si="17"/>
        <v>1.8024995599366307</v>
      </c>
      <c r="J52" s="335">
        <f t="shared" si="18"/>
        <v>1.732363390289291</v>
      </c>
      <c r="K52" s="335">
        <f t="shared" si="8"/>
        <v>11.516815553725451</v>
      </c>
      <c r="L52" s="335">
        <f t="shared" si="9"/>
        <v>11.603429384078112</v>
      </c>
      <c r="M52" s="476">
        <f t="shared" si="19"/>
        <v>6.6125256767801641</v>
      </c>
      <c r="N52" s="476">
        <f t="shared" si="10"/>
        <v>4.4557168834859953</v>
      </c>
      <c r="O52" s="485" t="str">
        <f t="shared" si="11"/>
        <v>NO</v>
      </c>
      <c r="P52" s="488" t="str">
        <f t="shared" si="12"/>
        <v/>
      </c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</row>
    <row r="53" spans="3:59" ht="18" customHeight="1">
      <c r="C53" s="443">
        <v>7</v>
      </c>
      <c r="D53" s="458">
        <f t="shared" si="13"/>
        <v>9.8238159937888181</v>
      </c>
      <c r="E53" s="458">
        <f t="shared" si="7"/>
        <v>9.9805659937888187</v>
      </c>
      <c r="F53" s="335">
        <f t="shared" si="14"/>
        <v>8.8833333333333329</v>
      </c>
      <c r="G53" s="335">
        <f t="shared" si="15"/>
        <v>2.1613508442776737</v>
      </c>
      <c r="H53" s="335">
        <f t="shared" si="16"/>
        <v>19.2</v>
      </c>
      <c r="I53" s="335">
        <f t="shared" si="17"/>
        <v>1.792821709950394</v>
      </c>
      <c r="J53" s="335">
        <f t="shared" si="18"/>
        <v>1.7234221598877983</v>
      </c>
      <c r="K53" s="335">
        <f t="shared" si="8"/>
        <v>11.616637703739212</v>
      </c>
      <c r="L53" s="335">
        <f t="shared" si="9"/>
        <v>11.703988153676617</v>
      </c>
      <c r="M53" s="476">
        <f t="shared" si="19"/>
        <v>6.6698398298981125</v>
      </c>
      <c r="N53" s="476">
        <f t="shared" si="10"/>
        <v>4.4943314510118215</v>
      </c>
      <c r="O53" s="485" t="str">
        <f t="shared" si="11"/>
        <v>NO</v>
      </c>
      <c r="P53" s="488" t="str">
        <f t="shared" si="12"/>
        <v/>
      </c>
      <c r="Q53" s="357"/>
      <c r="R53" s="522" t="s">
        <v>785</v>
      </c>
      <c r="S53" s="357"/>
      <c r="T53" s="357"/>
      <c r="U53" s="357"/>
      <c r="V53" s="357"/>
      <c r="W53" s="511" t="s">
        <v>787</v>
      </c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511" t="s">
        <v>794</v>
      </c>
      <c r="AI53" s="357"/>
      <c r="AJ53" s="878">
        <f>IF(AG25&gt;=B25,B21/12+B23+1.15*AG25,B21/12+1.15*AG25)</f>
        <v>21.418749999999999</v>
      </c>
      <c r="AK53" s="878"/>
      <c r="AL53" s="357" t="s">
        <v>13</v>
      </c>
      <c r="AM53" s="357"/>
      <c r="AN53" s="873" t="s">
        <v>763</v>
      </c>
      <c r="AO53" s="873"/>
      <c r="AP53" s="357"/>
      <c r="AQ53" s="357"/>
      <c r="AR53" s="357"/>
      <c r="AS53" s="357"/>
      <c r="AT53" s="357"/>
      <c r="AU53" s="357"/>
      <c r="AV53" s="357"/>
      <c r="AW53" s="357"/>
      <c r="BA53" s="492"/>
      <c r="BB53" s="492"/>
      <c r="BC53" s="492"/>
      <c r="BD53" s="492"/>
      <c r="BE53" s="492"/>
      <c r="BF53" s="492"/>
      <c r="BG53" s="492"/>
    </row>
    <row r="54" spans="3:59" ht="18" customHeight="1">
      <c r="C54" s="443">
        <v>7.1000000000000005</v>
      </c>
      <c r="D54" s="458">
        <f t="shared" si="13"/>
        <v>9.9333159937888187</v>
      </c>
      <c r="E54" s="458">
        <f t="shared" si="7"/>
        <v>10.090065993788819</v>
      </c>
      <c r="F54" s="335">
        <f t="shared" si="14"/>
        <v>8.9983333333333331</v>
      </c>
      <c r="G54" s="335">
        <f t="shared" si="15"/>
        <v>2.1337284682348585</v>
      </c>
      <c r="H54" s="335">
        <f t="shared" si="16"/>
        <v>19.200000000000003</v>
      </c>
      <c r="I54" s="335">
        <f t="shared" si="17"/>
        <v>1.7832472281883096</v>
      </c>
      <c r="J54" s="335">
        <f t="shared" si="18"/>
        <v>1.7145727521348444</v>
      </c>
      <c r="K54" s="335">
        <f t="shared" si="8"/>
        <v>11.716563221977129</v>
      </c>
      <c r="L54" s="335">
        <f t="shared" si="9"/>
        <v>11.804638745923663</v>
      </c>
      <c r="M54" s="476">
        <f t="shared" si="19"/>
        <v>6.7272133331926103</v>
      </c>
      <c r="N54" s="476">
        <f t="shared" si="10"/>
        <v>4.5329812784346872</v>
      </c>
      <c r="O54" s="485" t="str">
        <f t="shared" si="11"/>
        <v>NO</v>
      </c>
      <c r="P54" s="488" t="str">
        <f t="shared" si="12"/>
        <v/>
      </c>
      <c r="Q54" s="357"/>
      <c r="R54" s="522" t="s">
        <v>786</v>
      </c>
      <c r="S54" s="357"/>
      <c r="T54" s="357"/>
      <c r="U54" s="357"/>
      <c r="V54" s="357"/>
      <c r="W54" s="511" t="s">
        <v>788</v>
      </c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511" t="s">
        <v>795</v>
      </c>
      <c r="AI54" s="357"/>
      <c r="AJ54" s="878">
        <f>IF(AG26&gt;=B25,B21/12+B23+1.15*AG26,B21/12+1.15*AG26)</f>
        <v>22.281249999999996</v>
      </c>
      <c r="AK54" s="878"/>
      <c r="AL54" s="357" t="s">
        <v>13</v>
      </c>
      <c r="AM54" s="357"/>
      <c r="AN54" s="357"/>
      <c r="AO54" s="357"/>
      <c r="AP54" s="357"/>
      <c r="AQ54" s="357"/>
      <c r="AR54" s="357"/>
      <c r="AS54" s="357"/>
      <c r="AT54" s="357"/>
      <c r="AU54" s="357"/>
      <c r="AV54" s="357"/>
      <c r="AW54" s="357"/>
      <c r="BA54" s="492"/>
      <c r="BB54" s="492"/>
      <c r="BC54" s="492"/>
      <c r="BD54" s="492"/>
      <c r="BE54" s="492"/>
      <c r="BF54" s="492"/>
      <c r="BG54" s="492"/>
    </row>
    <row r="55" spans="3:59" ht="18" customHeight="1">
      <c r="C55" s="443">
        <v>7.2</v>
      </c>
      <c r="D55" s="458">
        <f t="shared" si="13"/>
        <v>10.042815993788818</v>
      </c>
      <c r="E55" s="458">
        <f t="shared" si="7"/>
        <v>10.199565993788818</v>
      </c>
      <c r="F55" s="335">
        <f t="shared" si="14"/>
        <v>9.1133333333333333</v>
      </c>
      <c r="G55" s="335">
        <f t="shared" si="15"/>
        <v>2.1068032187271397</v>
      </c>
      <c r="H55" s="335">
        <f t="shared" si="16"/>
        <v>19.2</v>
      </c>
      <c r="I55" s="335">
        <f t="shared" si="17"/>
        <v>1.7737744673479994</v>
      </c>
      <c r="J55" s="335">
        <f t="shared" si="18"/>
        <v>1.7058137597867731</v>
      </c>
      <c r="K55" s="335">
        <f t="shared" si="8"/>
        <v>11.816590461136817</v>
      </c>
      <c r="L55" s="335">
        <f t="shared" si="9"/>
        <v>11.905379753575591</v>
      </c>
      <c r="M55" s="476">
        <f t="shared" si="19"/>
        <v>6.7846452408441067</v>
      </c>
      <c r="N55" s="476">
        <f t="shared" si="10"/>
        <v>4.5716658253730271</v>
      </c>
      <c r="O55" s="485" t="str">
        <f t="shared" si="11"/>
        <v>NO</v>
      </c>
      <c r="P55" s="488" t="str">
        <f t="shared" si="12"/>
        <v/>
      </c>
      <c r="Q55" s="357"/>
      <c r="R55" s="357"/>
      <c r="S55" s="357"/>
      <c r="T55" s="357"/>
      <c r="U55" s="357"/>
      <c r="V55" s="357"/>
      <c r="W55" s="357"/>
      <c r="X55" s="357"/>
      <c r="Y55" s="357"/>
      <c r="Z55" s="357"/>
      <c r="AA55" s="357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  <c r="AL55" s="357"/>
      <c r="AM55" s="357"/>
      <c r="AN55" s="357"/>
      <c r="AO55" s="357"/>
      <c r="AP55" s="357"/>
      <c r="AQ55" s="357"/>
      <c r="AR55" s="357"/>
      <c r="AS55" s="357"/>
      <c r="AT55" s="357"/>
      <c r="AU55" s="357"/>
      <c r="AV55" s="357"/>
      <c r="AW55" s="357"/>
    </row>
    <row r="56" spans="3:59" ht="18" customHeight="1" thickBot="1">
      <c r="C56" s="443">
        <v>7.3000000000000007</v>
      </c>
      <c r="D56" s="458">
        <f t="shared" si="13"/>
        <v>10.15231599378882</v>
      </c>
      <c r="E56" s="458">
        <f t="shared" si="7"/>
        <v>10.30906599378882</v>
      </c>
      <c r="F56" s="335">
        <f t="shared" si="14"/>
        <v>9.2283333333333335</v>
      </c>
      <c r="G56" s="335">
        <f t="shared" si="15"/>
        <v>2.080549033772801</v>
      </c>
      <c r="H56" s="335">
        <f t="shared" si="16"/>
        <v>18.985009933176809</v>
      </c>
      <c r="I56" s="335">
        <f t="shared" si="17"/>
        <v>1.7446451032728101</v>
      </c>
      <c r="J56" s="335">
        <f t="shared" si="18"/>
        <v>1.6781402073411908</v>
      </c>
      <c r="K56" s="335">
        <f t="shared" si="8"/>
        <v>11.896961097061631</v>
      </c>
      <c r="L56" s="335">
        <f t="shared" si="9"/>
        <v>11.987206201130011</v>
      </c>
      <c r="M56" s="476">
        <f t="shared" si="19"/>
        <v>6.8307910605138558</v>
      </c>
      <c r="N56" s="476">
        <f t="shared" si="10"/>
        <v>4.6030871812339242</v>
      </c>
      <c r="O56" s="485" t="str">
        <f t="shared" si="11"/>
        <v>NO</v>
      </c>
      <c r="P56" s="488" t="str">
        <f t="shared" si="12"/>
        <v/>
      </c>
      <c r="Q56" s="516" t="s">
        <v>803</v>
      </c>
      <c r="R56" s="899" t="s">
        <v>802</v>
      </c>
      <c r="S56" s="899"/>
      <c r="T56" s="899"/>
      <c r="U56" s="899"/>
      <c r="V56" s="899"/>
      <c r="W56" s="899"/>
      <c r="X56" s="899"/>
      <c r="Y56" s="899"/>
      <c r="Z56" s="899"/>
      <c r="AA56" s="899"/>
      <c r="AB56" s="899"/>
      <c r="AC56" s="899"/>
      <c r="AD56" s="899"/>
      <c r="AE56" s="899"/>
      <c r="AF56" s="899"/>
      <c r="AG56" s="899"/>
      <c r="AH56" s="899"/>
      <c r="AI56" s="899"/>
      <c r="AJ56" s="899"/>
      <c r="AK56" s="899"/>
      <c r="AL56" s="899"/>
      <c r="AM56" s="357"/>
      <c r="AN56" s="357"/>
      <c r="AO56" s="494"/>
      <c r="AP56" s="494"/>
      <c r="AQ56" s="494"/>
      <c r="AR56" s="494"/>
      <c r="AS56" s="494"/>
      <c r="AT56" s="494"/>
      <c r="AU56" s="494"/>
      <c r="AV56" s="494"/>
      <c r="AW56" s="494"/>
    </row>
    <row r="57" spans="3:59" ht="18" customHeight="1">
      <c r="C57" s="443">
        <v>7.4</v>
      </c>
      <c r="D57" s="458">
        <f t="shared" si="13"/>
        <v>10.261815993788819</v>
      </c>
      <c r="E57" s="458">
        <f t="shared" si="7"/>
        <v>10.418565993788819</v>
      </c>
      <c r="F57" s="335">
        <f t="shared" si="14"/>
        <v>9.3433333333333337</v>
      </c>
      <c r="G57" s="335">
        <f t="shared" si="15"/>
        <v>2.0549411344987512</v>
      </c>
      <c r="H57" s="335">
        <f t="shared" si="16"/>
        <v>18.751337852301102</v>
      </c>
      <c r="I57" s="335">
        <f t="shared" si="17"/>
        <v>1.7141141840645469</v>
      </c>
      <c r="J57" s="335">
        <f t="shared" si="18"/>
        <v>1.649103532330114</v>
      </c>
      <c r="K57" s="335">
        <f t="shared" si="8"/>
        <v>11.975930177853366</v>
      </c>
      <c r="L57" s="335">
        <f t="shared" si="9"/>
        <v>12.067669526118934</v>
      </c>
      <c r="M57" s="476">
        <f t="shared" si="19"/>
        <v>6.876132159533034</v>
      </c>
      <c r="N57" s="476">
        <f t="shared" si="10"/>
        <v>4.6339850980296706</v>
      </c>
      <c r="O57" s="485" t="str">
        <f t="shared" si="11"/>
        <v>NO</v>
      </c>
      <c r="P57" s="488" t="str">
        <f t="shared" si="12"/>
        <v/>
      </c>
      <c r="Q57" s="357"/>
      <c r="R57" s="899"/>
      <c r="S57" s="899"/>
      <c r="T57" s="899"/>
      <c r="U57" s="899"/>
      <c r="V57" s="899"/>
      <c r="W57" s="899"/>
      <c r="X57" s="899"/>
      <c r="Y57" s="899"/>
      <c r="Z57" s="899"/>
      <c r="AA57" s="899"/>
      <c r="AB57" s="899"/>
      <c r="AC57" s="899"/>
      <c r="AD57" s="899"/>
      <c r="AE57" s="899"/>
      <c r="AF57" s="899"/>
      <c r="AG57" s="899"/>
      <c r="AH57" s="899"/>
      <c r="AI57" s="899"/>
      <c r="AJ57" s="899"/>
      <c r="AK57" s="899"/>
      <c r="AL57" s="899"/>
      <c r="AM57" s="357"/>
      <c r="AN57" s="357"/>
      <c r="AO57" s="357"/>
      <c r="AP57" s="357"/>
      <c r="AQ57" s="896" t="s">
        <v>753</v>
      </c>
      <c r="AR57" s="896"/>
      <c r="AS57" s="895" t="s">
        <v>784</v>
      </c>
      <c r="AT57" s="895"/>
      <c r="AU57" s="357"/>
      <c r="AV57" s="357"/>
      <c r="AW57" s="357"/>
    </row>
    <row r="58" spans="3:59" ht="18" customHeight="1">
      <c r="C58" s="443">
        <v>7.5</v>
      </c>
      <c r="D58" s="458">
        <f t="shared" si="13"/>
        <v>10.371315993788819</v>
      </c>
      <c r="E58" s="458">
        <f t="shared" si="7"/>
        <v>10.52806599378882</v>
      </c>
      <c r="F58" s="335">
        <f t="shared" si="14"/>
        <v>9.4583333333333339</v>
      </c>
      <c r="G58" s="335">
        <f t="shared" si="15"/>
        <v>2.0299559471365636</v>
      </c>
      <c r="H58" s="335">
        <f t="shared" si="16"/>
        <v>18.523348017621142</v>
      </c>
      <c r="I58" s="335">
        <f t="shared" si="17"/>
        <v>1.6844192570726815</v>
      </c>
      <c r="J58" s="335">
        <f t="shared" si="18"/>
        <v>1.6208562662397499</v>
      </c>
      <c r="K58" s="335">
        <f t="shared" si="8"/>
        <v>12.055735250861501</v>
      </c>
      <c r="L58" s="335">
        <f t="shared" si="9"/>
        <v>12.14892226002857</v>
      </c>
      <c r="M58" s="476">
        <f t="shared" si="19"/>
        <v>6.9219532540831592</v>
      </c>
      <c r="N58" s="476">
        <f t="shared" si="10"/>
        <v>4.6651861478509709</v>
      </c>
      <c r="O58" s="485" t="str">
        <f t="shared" si="11"/>
        <v>NO</v>
      </c>
      <c r="P58" s="488" t="str">
        <f t="shared" si="12"/>
        <v/>
      </c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7"/>
      <c r="AM58" s="357"/>
      <c r="AN58" s="357"/>
      <c r="AO58" s="357"/>
      <c r="AP58" s="357"/>
      <c r="AQ58" s="357"/>
      <c r="AR58" s="357"/>
      <c r="AS58" s="357"/>
      <c r="AT58" s="357"/>
      <c r="AU58" s="357"/>
      <c r="AV58" s="357"/>
      <c r="AW58" s="357"/>
    </row>
    <row r="59" spans="3:59" ht="18" customHeight="1">
      <c r="C59" s="443">
        <v>7.6000000000000005</v>
      </c>
      <c r="D59" s="458">
        <f t="shared" si="13"/>
        <v>10.480815993788818</v>
      </c>
      <c r="E59" s="458">
        <f t="shared" si="7"/>
        <v>10.637565993788819</v>
      </c>
      <c r="F59" s="335">
        <f t="shared" si="14"/>
        <v>9.5733333333333341</v>
      </c>
      <c r="G59" s="335">
        <f t="shared" si="15"/>
        <v>2.0055710306406684</v>
      </c>
      <c r="H59" s="335">
        <f t="shared" si="16"/>
        <v>18.300835654596099</v>
      </c>
      <c r="I59" s="335">
        <f t="shared" si="17"/>
        <v>1.6555287526066467</v>
      </c>
      <c r="J59" s="335">
        <f t="shared" si="18"/>
        <v>1.593368724348575</v>
      </c>
      <c r="K59" s="335">
        <f t="shared" si="8"/>
        <v>12.136344746395466</v>
      </c>
      <c r="L59" s="335">
        <f t="shared" si="9"/>
        <v>12.230934718137394</v>
      </c>
      <c r="M59" s="476">
        <f t="shared" si="19"/>
        <v>6.9682362180261057</v>
      </c>
      <c r="N59" s="476">
        <f t="shared" si="10"/>
        <v>4.6966789317647599</v>
      </c>
      <c r="O59" s="485" t="str">
        <f t="shared" si="11"/>
        <v>NO</v>
      </c>
      <c r="P59" s="488" t="str">
        <f t="shared" si="12"/>
        <v/>
      </c>
      <c r="Q59" s="357"/>
      <c r="R59" s="522" t="s">
        <v>785</v>
      </c>
      <c r="S59" s="357"/>
      <c r="T59" s="357"/>
      <c r="U59" s="357"/>
      <c r="V59" s="357"/>
      <c r="W59" s="511" t="s">
        <v>834</v>
      </c>
      <c r="X59" s="357"/>
      <c r="Y59" s="357"/>
      <c r="Z59" s="357"/>
      <c r="AA59" s="357"/>
      <c r="AB59" s="357"/>
      <c r="AC59" s="357"/>
      <c r="AD59" s="357"/>
      <c r="AE59" s="357"/>
      <c r="AF59" s="510" t="s">
        <v>808</v>
      </c>
      <c r="AG59" s="510"/>
      <c r="AH59" s="866">
        <f>VLOOKUP(AA17,C3:N143,7)</f>
        <v>1.792821709950394</v>
      </c>
      <c r="AI59" s="866"/>
      <c r="AJ59" s="510" t="s">
        <v>773</v>
      </c>
      <c r="AK59" s="510"/>
      <c r="AL59" s="357"/>
      <c r="AM59" s="357"/>
      <c r="AN59" s="357"/>
      <c r="AO59" s="357"/>
      <c r="AP59" s="357"/>
      <c r="AQ59" s="357"/>
      <c r="AR59" s="357"/>
      <c r="AS59" s="357"/>
      <c r="AT59" s="357"/>
      <c r="AU59" s="357"/>
      <c r="AV59" s="357"/>
      <c r="AW59" s="357"/>
      <c r="BB59" s="506" t="s">
        <v>799</v>
      </c>
      <c r="BC59" s="506"/>
      <c r="BD59" s="867">
        <f>IF(AG25&gt;=B25,2*AH45/AJ53,AH45/AJ53)</f>
        <v>1.792821709950394</v>
      </c>
      <c r="BE59" s="867"/>
      <c r="BF59" s="506" t="s">
        <v>773</v>
      </c>
    </row>
    <row r="60" spans="3:59" ht="18" customHeight="1">
      <c r="C60" s="443">
        <v>7.7</v>
      </c>
      <c r="D60" s="458">
        <f t="shared" si="13"/>
        <v>10.590315993788817</v>
      </c>
      <c r="E60" s="458">
        <f t="shared" si="7"/>
        <v>10.747065993788818</v>
      </c>
      <c r="F60" s="335">
        <f t="shared" si="14"/>
        <v>9.6883333333333326</v>
      </c>
      <c r="G60" s="335">
        <f t="shared" si="15"/>
        <v>1.9817650094615518</v>
      </c>
      <c r="H60" s="335">
        <f t="shared" si="16"/>
        <v>18.083605711336659</v>
      </c>
      <c r="I60" s="335">
        <f t="shared" si="17"/>
        <v>1.6274126294020279</v>
      </c>
      <c r="J60" s="335">
        <f t="shared" si="18"/>
        <v>1.5666126557008313</v>
      </c>
      <c r="K60" s="335">
        <f t="shared" si="8"/>
        <v>12.217728623190844</v>
      </c>
      <c r="L60" s="335">
        <f t="shared" si="9"/>
        <v>12.313678649489649</v>
      </c>
      <c r="M60" s="476">
        <f t="shared" si="19"/>
        <v>7.0149638027890022</v>
      </c>
      <c r="N60" s="476">
        <f t="shared" si="10"/>
        <v>4.7284526014040251</v>
      </c>
      <c r="O60" s="485" t="str">
        <f t="shared" si="11"/>
        <v>NO</v>
      </c>
      <c r="P60" s="488" t="str">
        <f t="shared" si="12"/>
        <v/>
      </c>
      <c r="Q60" s="357"/>
      <c r="R60" s="522" t="s">
        <v>786</v>
      </c>
      <c r="S60" s="357"/>
      <c r="T60" s="357"/>
      <c r="U60" s="357"/>
      <c r="V60" s="357"/>
      <c r="W60" s="511" t="s">
        <v>833</v>
      </c>
      <c r="X60" s="357"/>
      <c r="Y60" s="357"/>
      <c r="Z60" s="357"/>
      <c r="AA60" s="357"/>
      <c r="AB60" s="357"/>
      <c r="AC60" s="357"/>
      <c r="AD60" s="357"/>
      <c r="AE60" s="357"/>
      <c r="AF60" s="510" t="s">
        <v>809</v>
      </c>
      <c r="AG60" s="510"/>
      <c r="AH60" s="866">
        <f>VLOOKUP(AA17,C3:N143,8)</f>
        <v>1.7234221598877983</v>
      </c>
      <c r="AI60" s="866"/>
      <c r="AJ60" s="510" t="s">
        <v>773</v>
      </c>
      <c r="AK60" s="510"/>
      <c r="AL60" s="357"/>
      <c r="AM60" s="357"/>
      <c r="AN60" s="357"/>
      <c r="AO60" s="357"/>
      <c r="AP60" s="357"/>
      <c r="AQ60" s="357"/>
      <c r="AR60" s="357"/>
      <c r="AS60" s="357"/>
      <c r="AT60" s="357"/>
      <c r="AU60" s="357"/>
      <c r="AV60" s="357"/>
      <c r="AW60" s="357"/>
      <c r="BB60" s="506" t="s">
        <v>799</v>
      </c>
      <c r="BC60" s="506"/>
      <c r="BD60" s="867">
        <f>IF(AG26&gt;=B25,2*AH45/AJ54,AH45/AJ54)</f>
        <v>1.7234221598877983</v>
      </c>
      <c r="BE60" s="867"/>
      <c r="BF60" s="506" t="s">
        <v>773</v>
      </c>
    </row>
    <row r="61" spans="3:59" ht="18" customHeight="1">
      <c r="C61" s="443">
        <v>7.8000000000000007</v>
      </c>
      <c r="D61" s="458">
        <f t="shared" si="13"/>
        <v>10.699815993788819</v>
      </c>
      <c r="E61" s="458">
        <f t="shared" si="7"/>
        <v>10.85656599378882</v>
      </c>
      <c r="F61" s="335">
        <f t="shared" si="14"/>
        <v>9.8033333333333346</v>
      </c>
      <c r="G61" s="335">
        <f t="shared" si="15"/>
        <v>1.9585175110506627</v>
      </c>
      <c r="H61" s="335">
        <f t="shared" si="16"/>
        <v>17.871472288337298</v>
      </c>
      <c r="I61" s="335">
        <f t="shared" si="17"/>
        <v>1.6000422842224655</v>
      </c>
      <c r="J61" s="335">
        <f t="shared" si="18"/>
        <v>1.5405611584149388</v>
      </c>
      <c r="K61" s="335">
        <f t="shared" si="8"/>
        <v>12.299858278011286</v>
      </c>
      <c r="L61" s="335">
        <f t="shared" si="9"/>
        <v>12.397127152203758</v>
      </c>
      <c r="M61" s="476">
        <f t="shared" si="19"/>
        <v>7.0621195854610264</v>
      </c>
      <c r="N61" s="476">
        <f t="shared" si="10"/>
        <v>4.7604968264462437</v>
      </c>
      <c r="O61" s="485" t="str">
        <f t="shared" si="11"/>
        <v>NO</v>
      </c>
      <c r="P61" s="488" t="str">
        <f t="shared" si="12"/>
        <v/>
      </c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57"/>
      <c r="AC61" s="357"/>
      <c r="AD61" s="357"/>
      <c r="AE61" s="357"/>
      <c r="AF61" s="357"/>
      <c r="AG61" s="357"/>
      <c r="AH61" s="357"/>
      <c r="AI61" s="357"/>
      <c r="AJ61" s="357"/>
      <c r="AK61" s="357"/>
      <c r="AL61" s="357"/>
      <c r="AM61" s="357"/>
      <c r="AN61" s="357"/>
      <c r="AO61" s="357"/>
      <c r="AP61" s="357"/>
      <c r="AQ61" s="357"/>
      <c r="AR61" s="357"/>
      <c r="AS61" s="357"/>
      <c r="AT61" s="357"/>
      <c r="AU61" s="357"/>
      <c r="AV61" s="357"/>
      <c r="AW61" s="357"/>
    </row>
    <row r="62" spans="3:59" ht="18" customHeight="1">
      <c r="C62" s="443">
        <v>7.9</v>
      </c>
      <c r="D62" s="458">
        <f t="shared" si="13"/>
        <v>10.80931599378882</v>
      </c>
      <c r="E62" s="458">
        <f t="shared" si="7"/>
        <v>10.966065993788821</v>
      </c>
      <c r="F62" s="335">
        <f t="shared" si="14"/>
        <v>9.918333333333333</v>
      </c>
      <c r="G62" s="335">
        <f t="shared" si="15"/>
        <v>1.9358091077129893</v>
      </c>
      <c r="H62" s="335">
        <f t="shared" si="16"/>
        <v>17.664258107881029</v>
      </c>
      <c r="I62" s="335">
        <f t="shared" si="17"/>
        <v>1.5733904677731807</v>
      </c>
      <c r="J62" s="335">
        <f t="shared" si="18"/>
        <v>1.5151886009011766</v>
      </c>
      <c r="K62" s="335">
        <f t="shared" si="8"/>
        <v>12.382706461562</v>
      </c>
      <c r="L62" s="335">
        <f t="shared" si="9"/>
        <v>12.481254594689997</v>
      </c>
      <c r="M62" s="476">
        <f t="shared" si="19"/>
        <v>7.1096879205140677</v>
      </c>
      <c r="N62" s="476">
        <f t="shared" si="10"/>
        <v>4.7928017643609593</v>
      </c>
      <c r="O62" s="485" t="str">
        <f t="shared" si="11"/>
        <v>NO</v>
      </c>
      <c r="P62" s="488" t="str">
        <f t="shared" si="12"/>
        <v/>
      </c>
      <c r="Q62" s="516" t="s">
        <v>804</v>
      </c>
      <c r="R62" s="357" t="s">
        <v>816</v>
      </c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357"/>
      <c r="AK62" s="357"/>
      <c r="AL62" s="357"/>
      <c r="AM62" s="357"/>
      <c r="AN62" s="357"/>
      <c r="AO62" s="357"/>
      <c r="AP62" s="357"/>
      <c r="AQ62" s="357"/>
      <c r="AR62" s="357"/>
      <c r="AS62" s="357"/>
      <c r="AT62" s="357"/>
      <c r="AU62" s="357"/>
      <c r="AV62" s="357"/>
      <c r="AW62" s="357"/>
    </row>
    <row r="63" spans="3:59" ht="18" customHeight="1">
      <c r="C63" s="443">
        <v>8</v>
      </c>
      <c r="D63" s="458">
        <f t="shared" si="13"/>
        <v>10.918815993788819</v>
      </c>
      <c r="E63" s="458">
        <f t="shared" si="7"/>
        <v>11.075565993788819</v>
      </c>
      <c r="F63" s="335">
        <f t="shared" si="14"/>
        <v>10.033333333333333</v>
      </c>
      <c r="G63" s="335">
        <f t="shared" si="15"/>
        <v>1.9136212624584716</v>
      </c>
      <c r="H63" s="335">
        <f t="shared" si="16"/>
        <v>17.461794019933553</v>
      </c>
      <c r="I63" s="335">
        <f t="shared" si="17"/>
        <v>1.5474312064189248</v>
      </c>
      <c r="J63" s="335">
        <f t="shared" si="18"/>
        <v>1.4904705485139336</v>
      </c>
      <c r="K63" s="335">
        <f t="shared" si="8"/>
        <v>12.466247200207743</v>
      </c>
      <c r="L63" s="335">
        <f t="shared" si="9"/>
        <v>12.566036542302752</v>
      </c>
      <c r="M63" s="476">
        <f t="shared" si="19"/>
        <v>7.1576538948561215</v>
      </c>
      <c r="N63" s="476">
        <f t="shared" si="10"/>
        <v>4.8253580322442575</v>
      </c>
      <c r="O63" s="485" t="str">
        <f t="shared" si="11"/>
        <v>NO</v>
      </c>
      <c r="P63" s="488" t="str">
        <f t="shared" si="12"/>
        <v/>
      </c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  <c r="AL63" s="357"/>
      <c r="AM63" s="357"/>
      <c r="AN63" s="357"/>
      <c r="AO63" s="357"/>
      <c r="AP63" s="357"/>
      <c r="AQ63" s="357"/>
      <c r="AR63" s="357"/>
      <c r="AS63" s="357"/>
      <c r="AT63" s="357"/>
      <c r="AU63" s="357"/>
      <c r="AV63" s="357"/>
      <c r="AW63" s="357"/>
    </row>
    <row r="64" spans="3:59" ht="18" customHeight="1">
      <c r="C64" s="443">
        <v>8.1000000000000014</v>
      </c>
      <c r="D64" s="458">
        <f t="shared" si="13"/>
        <v>11.028315993788818</v>
      </c>
      <c r="E64" s="458">
        <f t="shared" si="7"/>
        <v>11.185065993788818</v>
      </c>
      <c r="F64" s="335">
        <f t="shared" si="14"/>
        <v>10.148333333333335</v>
      </c>
      <c r="G64" s="335">
        <f t="shared" si="15"/>
        <v>1.8919362785350629</v>
      </c>
      <c r="H64" s="335">
        <f t="shared" si="16"/>
        <v>17.263918541632449</v>
      </c>
      <c r="I64" s="335">
        <f t="shared" si="17"/>
        <v>1.5221397292451599</v>
      </c>
      <c r="J64" s="335">
        <f t="shared" si="18"/>
        <v>1.4663836952068758</v>
      </c>
      <c r="K64" s="335">
        <f t="shared" si="8"/>
        <v>12.550455723033977</v>
      </c>
      <c r="L64" s="335">
        <f t="shared" si="9"/>
        <v>12.651449688995694</v>
      </c>
      <c r="M64" s="476">
        <f t="shared" si="19"/>
        <v>7.2060032859525238</v>
      </c>
      <c r="N64" s="476">
        <f t="shared" si="10"/>
        <v>4.8581566805743464</v>
      </c>
      <c r="O64" s="485" t="str">
        <f t="shared" si="11"/>
        <v>NO</v>
      </c>
      <c r="P64" s="488" t="str">
        <f t="shared" si="12"/>
        <v/>
      </c>
      <c r="Q64" s="357"/>
      <c r="R64" s="510" t="s">
        <v>806</v>
      </c>
      <c r="S64" s="510"/>
      <c r="T64" s="510"/>
      <c r="U64" s="510"/>
      <c r="V64" s="510"/>
      <c r="W64" s="510"/>
      <c r="X64" s="515"/>
      <c r="Y64" s="510"/>
      <c r="Z64" s="510"/>
      <c r="AA64" s="510"/>
      <c r="AB64" s="866">
        <f>VLOOKUP(AA17,C3:N143,2)</f>
        <v>9.8238159937888181</v>
      </c>
      <c r="AC64" s="866"/>
      <c r="AD64" s="510" t="s">
        <v>773</v>
      </c>
      <c r="AE64" s="357"/>
      <c r="AF64" s="357"/>
      <c r="AG64" s="357"/>
      <c r="AH64" s="357"/>
      <c r="AI64" s="357"/>
      <c r="AJ64" s="357"/>
      <c r="AK64" s="357"/>
      <c r="AL64" s="357"/>
      <c r="AM64" s="357"/>
      <c r="AN64" s="357"/>
      <c r="AO64" s="357"/>
      <c r="AP64" s="357"/>
      <c r="AQ64" s="357"/>
      <c r="AR64" s="357"/>
      <c r="AS64" s="357"/>
      <c r="AT64" s="357"/>
      <c r="AU64" s="357"/>
      <c r="AV64" s="357"/>
      <c r="AW64" s="357"/>
      <c r="BB64" s="506" t="s">
        <v>799</v>
      </c>
      <c r="BC64" s="92"/>
      <c r="BD64" s="867">
        <f>(B10/12*(AA17+B5/12)-B6)*B14</f>
        <v>9.8238159937888181</v>
      </c>
      <c r="BE64" s="867"/>
      <c r="BF64" s="506" t="s">
        <v>773</v>
      </c>
    </row>
    <row r="65" spans="3:66" ht="18" customHeight="1">
      <c r="C65" s="443">
        <v>8.1999999999999993</v>
      </c>
      <c r="D65" s="458">
        <f t="shared" si="13"/>
        <v>11.137815993788816</v>
      </c>
      <c r="E65" s="458">
        <f t="shared" si="7"/>
        <v>11.294565993788817</v>
      </c>
      <c r="F65" s="335">
        <f t="shared" si="14"/>
        <v>10.263333333333332</v>
      </c>
      <c r="G65" s="335">
        <f t="shared" si="15"/>
        <v>1.8707372523546608</v>
      </c>
      <c r="H65" s="335">
        <f t="shared" si="16"/>
        <v>17.070477427736282</v>
      </c>
      <c r="I65" s="335">
        <f t="shared" si="17"/>
        <v>1.4974924000426588</v>
      </c>
      <c r="J65" s="335">
        <f t="shared" si="18"/>
        <v>1.4429057997980905</v>
      </c>
      <c r="K65" s="335">
        <f t="shared" si="8"/>
        <v>12.635308393831476</v>
      </c>
      <c r="L65" s="335">
        <f t="shared" si="9"/>
        <v>12.737471793586908</v>
      </c>
      <c r="M65" s="476">
        <f t="shared" si="19"/>
        <v>7.2547225227740544</v>
      </c>
      <c r="N65" s="476">
        <f t="shared" si="10"/>
        <v>4.8911891687373732</v>
      </c>
      <c r="O65" s="485" t="str">
        <f t="shared" si="11"/>
        <v>NO</v>
      </c>
      <c r="P65" s="488" t="str">
        <f t="shared" si="12"/>
        <v/>
      </c>
      <c r="Q65" s="357"/>
      <c r="R65" s="510" t="s">
        <v>807</v>
      </c>
      <c r="S65" s="510"/>
      <c r="T65" s="510"/>
      <c r="U65" s="510"/>
      <c r="V65" s="510"/>
      <c r="W65" s="510"/>
      <c r="X65" s="515"/>
      <c r="Y65" s="510"/>
      <c r="Z65" s="510"/>
      <c r="AA65" s="510"/>
      <c r="AB65" s="866">
        <f>VLOOKUP(AA17,C3:N143,3)</f>
        <v>9.9805659937888187</v>
      </c>
      <c r="AC65" s="866"/>
      <c r="AD65" s="510" t="s">
        <v>773</v>
      </c>
      <c r="AE65" s="357"/>
      <c r="AF65" s="357"/>
      <c r="AG65" s="357"/>
      <c r="AH65" s="357"/>
      <c r="AI65" s="357"/>
      <c r="AJ65" s="357"/>
      <c r="AK65" s="357"/>
      <c r="AL65" s="357"/>
      <c r="AM65" s="357"/>
      <c r="AN65" s="357"/>
      <c r="AO65" s="357"/>
      <c r="AP65" s="357"/>
      <c r="AQ65" s="357"/>
      <c r="AR65" s="357"/>
      <c r="AS65" s="357"/>
      <c r="AT65" s="357"/>
      <c r="AU65" s="357"/>
      <c r="AV65" s="357"/>
      <c r="AW65" s="357"/>
      <c r="BB65" s="506" t="s">
        <v>799</v>
      </c>
      <c r="BC65" s="92"/>
      <c r="BD65" s="867">
        <f>(B10/12*(AA17+B5/12+B8/12)-B6)*B14</f>
        <v>10.645065993788819</v>
      </c>
      <c r="BE65" s="867"/>
      <c r="BF65" s="506" t="s">
        <v>773</v>
      </c>
    </row>
    <row r="66" spans="3:66" ht="18" customHeight="1">
      <c r="C66" s="443">
        <v>8.3000000000000007</v>
      </c>
      <c r="D66" s="458">
        <f t="shared" si="13"/>
        <v>11.247315993788821</v>
      </c>
      <c r="E66" s="458">
        <f t="shared" si="7"/>
        <v>11.404065993788821</v>
      </c>
      <c r="F66" s="335">
        <f t="shared" si="14"/>
        <v>10.378333333333334</v>
      </c>
      <c r="G66" s="335">
        <f t="shared" si="15"/>
        <v>1.8500080295487391</v>
      </c>
      <c r="H66" s="335">
        <f t="shared" si="16"/>
        <v>16.881323269632244</v>
      </c>
      <c r="I66" s="335">
        <f t="shared" si="17"/>
        <v>1.4734666538329382</v>
      </c>
      <c r="J66" s="335">
        <f t="shared" si="18"/>
        <v>1.4200156264871242</v>
      </c>
      <c r="K66" s="335">
        <f t="shared" si="8"/>
        <v>12.720782647621759</v>
      </c>
      <c r="L66" s="335">
        <f t="shared" si="9"/>
        <v>12.824081620275946</v>
      </c>
      <c r="M66" s="476">
        <f t="shared" si="19"/>
        <v>7.3037986493522071</v>
      </c>
      <c r="N66" s="476">
        <f t="shared" si="10"/>
        <v>4.9244473421859638</v>
      </c>
      <c r="O66" s="485" t="str">
        <f t="shared" si="11"/>
        <v>NO</v>
      </c>
      <c r="P66" s="488" t="str">
        <f t="shared" si="12"/>
        <v/>
      </c>
      <c r="Q66" s="357"/>
      <c r="R66" s="357"/>
      <c r="S66" s="357"/>
      <c r="T66" s="357"/>
      <c r="U66" s="357"/>
      <c r="V66" s="357"/>
      <c r="W66" s="357"/>
      <c r="X66" s="515"/>
      <c r="Y66" s="357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7"/>
      <c r="AM66" s="357"/>
      <c r="AN66" s="357"/>
      <c r="AO66" s="357"/>
      <c r="AP66" s="357"/>
      <c r="AQ66" s="357"/>
      <c r="AR66" s="357"/>
      <c r="AS66" s="357"/>
      <c r="AT66" s="357"/>
      <c r="AU66" s="357"/>
      <c r="AV66" s="357"/>
      <c r="AW66" s="357"/>
    </row>
    <row r="67" spans="3:66" ht="18" customHeight="1">
      <c r="C67" s="443">
        <v>8.4</v>
      </c>
      <c r="D67" s="458">
        <f t="shared" ref="D67:D98" si="20">($B$10/12*(C67+$B$5/12)-$B$6)*$B$14</f>
        <v>11.356815993788819</v>
      </c>
      <c r="E67" s="458">
        <f t="shared" si="7"/>
        <v>11.51356599378882</v>
      </c>
      <c r="F67" s="335">
        <f t="shared" ref="F67:F98" si="21">IF($C67&lt;$B$26,$B$22/12+1.15*$C67,$B$22/12+1.15*$C67+$B$24)</f>
        <v>10.493333333333334</v>
      </c>
      <c r="G67" s="335">
        <f t="shared" ref="G67:G98" si="22">IF($C67&lt;$B$26,$B$27*$B$20/F67,2*$B$27*$B$20/F67)</f>
        <v>1.8297331639135956</v>
      </c>
      <c r="H67" s="335">
        <f t="shared" ref="H67:H98" si="23">IF(F67&lt;$B$10/12,G67*F67,G67*$B$10/12)</f>
        <v>16.69631512071156</v>
      </c>
      <c r="I67" s="335">
        <f t="shared" ref="I67:I98" si="24">IF(C67+$B$5/12&lt;$B$25,H67/($B$21/12+1.15*(C67+$B$5/12)),2*H67/($B$21/12+$B$23+1.15*(C67+$B$5/12)))</f>
        <v>1.4500409375855452</v>
      </c>
      <c r="J67" s="335">
        <f t="shared" ref="J67:J98" si="25">IF(C67+$B$5/12+$B$8/12&lt;$B$25,H67/($B$21/12+1.15*(C67+$B$5/12+$B$8/12)),2*H67/($B$21/12+$B$23+1.15*(C67+$B$5/12+$B$8/12)))</f>
        <v>1.3976928892972582</v>
      </c>
      <c r="K67" s="335">
        <f t="shared" si="8"/>
        <v>12.806856931374364</v>
      </c>
      <c r="L67" s="335">
        <f t="shared" si="9"/>
        <v>12.911258883086077</v>
      </c>
      <c r="M67" s="476">
        <f t="shared" ref="M67:M98" si="26">K67/($B$11/12)</f>
        <v>7.3532192907412623</v>
      </c>
      <c r="N67" s="476">
        <f t="shared" si="10"/>
        <v>4.9579234111050541</v>
      </c>
      <c r="O67" s="485" t="str">
        <f t="shared" si="11"/>
        <v>NO</v>
      </c>
      <c r="P67" s="488" t="str">
        <f t="shared" si="12"/>
        <v/>
      </c>
      <c r="Q67" s="516" t="s">
        <v>812</v>
      </c>
      <c r="R67" s="357" t="s">
        <v>817</v>
      </c>
      <c r="S67" s="357"/>
      <c r="T67" s="357"/>
      <c r="U67" s="357"/>
      <c r="V67" s="357"/>
      <c r="W67" s="357"/>
      <c r="X67" s="515"/>
      <c r="Y67" s="357"/>
      <c r="Z67" s="357"/>
      <c r="AA67" s="357"/>
      <c r="AB67" s="357"/>
      <c r="AC67" s="357"/>
      <c r="AD67" s="357"/>
      <c r="AE67" s="357"/>
      <c r="AF67" s="357"/>
      <c r="AG67" s="357"/>
      <c r="AH67" s="357"/>
      <c r="AI67" s="357"/>
      <c r="AJ67" s="357"/>
      <c r="AK67" s="357"/>
      <c r="AL67" s="357"/>
      <c r="AM67" s="357"/>
      <c r="AN67" s="357"/>
      <c r="AO67" s="357"/>
      <c r="AP67" s="357"/>
      <c r="AQ67" s="357"/>
      <c r="AR67" s="357"/>
      <c r="AS67" s="357"/>
      <c r="AT67" s="357"/>
      <c r="AU67" s="357"/>
      <c r="AV67" s="357"/>
      <c r="AW67" s="357"/>
    </row>
    <row r="68" spans="3:66" ht="18" customHeight="1">
      <c r="C68" s="443">
        <v>8.5</v>
      </c>
      <c r="D68" s="458">
        <f t="shared" si="20"/>
        <v>11.466315993788818</v>
      </c>
      <c r="E68" s="458">
        <f t="shared" ref="E68:E131" si="27">D68+$B$8/12*$B$11/12*$B$14</f>
        <v>11.623065993788819</v>
      </c>
      <c r="F68" s="335">
        <f t="shared" si="21"/>
        <v>10.608333333333333</v>
      </c>
      <c r="G68" s="335">
        <f t="shared" si="22"/>
        <v>1.809897879025923</v>
      </c>
      <c r="H68" s="335">
        <f t="shared" si="23"/>
        <v>16.515318146111547</v>
      </c>
      <c r="I68" s="335">
        <f t="shared" si="24"/>
        <v>1.4271946548084513</v>
      </c>
      <c r="J68" s="335">
        <f t="shared" si="25"/>
        <v>1.3759182001446746</v>
      </c>
      <c r="K68" s="335">
        <f t="shared" ref="K68:K131" si="28">D68+I68</f>
        <v>12.893510648597269</v>
      </c>
      <c r="L68" s="335">
        <f t="shared" ref="L68:L131" si="29">E68+J68</f>
        <v>12.998984193933493</v>
      </c>
      <c r="M68" s="476">
        <f t="shared" si="26"/>
        <v>7.4029726212041744</v>
      </c>
      <c r="N68" s="476">
        <f t="shared" ref="N68:N131" si="30">L68/($B$12/12)</f>
        <v>4.991609930470462</v>
      </c>
      <c r="O68" s="485" t="str">
        <f t="shared" ref="O68:O131" si="31">IF(AND(M68&lt;=$B$17,N68&lt;=$B$18),"YES","NO")</f>
        <v>NO</v>
      </c>
      <c r="P68" s="488" t="str">
        <f t="shared" ref="P68:P131" si="32">IF(AND(O68="YES",O69="NO"),C68,"")</f>
        <v/>
      </c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7"/>
      <c r="AH68" s="357"/>
      <c r="AI68" s="357"/>
      <c r="AJ68" s="357"/>
      <c r="AK68" s="357"/>
      <c r="AL68" s="357"/>
      <c r="AM68" s="357"/>
      <c r="AN68" s="357"/>
      <c r="AO68" s="357"/>
      <c r="AP68" s="357"/>
      <c r="AQ68" s="357"/>
      <c r="AR68" s="357"/>
      <c r="AS68" s="357"/>
      <c r="AT68" s="357"/>
      <c r="AU68" s="357"/>
      <c r="AV68" s="357"/>
      <c r="AW68" s="357"/>
    </row>
    <row r="69" spans="3:66" ht="18" customHeight="1">
      <c r="C69" s="443">
        <v>8.6000000000000014</v>
      </c>
      <c r="D69" s="458">
        <f t="shared" si="20"/>
        <v>11.575815993788819</v>
      </c>
      <c r="E69" s="458">
        <f t="shared" si="27"/>
        <v>11.732565993788819</v>
      </c>
      <c r="F69" s="335">
        <f t="shared" si="21"/>
        <v>10.723333333333334</v>
      </c>
      <c r="G69" s="335">
        <f t="shared" si="22"/>
        <v>1.7904880323282559</v>
      </c>
      <c r="H69" s="335">
        <f t="shared" si="23"/>
        <v>16.338203294995335</v>
      </c>
      <c r="I69" s="335">
        <f t="shared" si="24"/>
        <v>1.4049081137202417</v>
      </c>
      <c r="J69" s="335">
        <f t="shared" si="25"/>
        <v>1.3546730202618302</v>
      </c>
      <c r="K69" s="335">
        <f t="shared" si="28"/>
        <v>12.98072410750906</v>
      </c>
      <c r="L69" s="335">
        <f t="shared" si="29"/>
        <v>13.087239014050649</v>
      </c>
      <c r="M69" s="476">
        <f t="shared" si="26"/>
        <v>7.453047334454963</v>
      </c>
      <c r="N69" s="476">
        <f t="shared" si="30"/>
        <v>5.0254997813954496</v>
      </c>
      <c r="O69" s="485" t="str">
        <f t="shared" si="31"/>
        <v>NO</v>
      </c>
      <c r="P69" s="488" t="str">
        <f t="shared" si="32"/>
        <v/>
      </c>
      <c r="Q69" s="357"/>
      <c r="R69" s="357" t="s">
        <v>818</v>
      </c>
      <c r="S69" s="357"/>
      <c r="T69" s="357"/>
      <c r="U69" s="357"/>
      <c r="V69" s="357"/>
      <c r="W69" s="357"/>
      <c r="X69" s="357"/>
      <c r="Y69" s="357"/>
      <c r="Z69" s="357"/>
      <c r="AA69" s="878">
        <f>VLOOKUP(AA17,C3:N143,11)</f>
        <v>6.6698398298981125</v>
      </c>
      <c r="AB69" s="878"/>
      <c r="AC69" s="357" t="s">
        <v>705</v>
      </c>
      <c r="AD69" s="357"/>
      <c r="AE69" s="864" t="s">
        <v>824</v>
      </c>
      <c r="AF69" s="864"/>
      <c r="AG69" s="864"/>
      <c r="AH69" s="864"/>
      <c r="AI69" s="864"/>
      <c r="AJ69" s="864"/>
      <c r="AK69" s="864"/>
      <c r="AL69" s="878">
        <f>B15/AA69</f>
        <v>4.1980018582286895</v>
      </c>
      <c r="AM69" s="878"/>
      <c r="AN69" s="523" t="s">
        <v>822</v>
      </c>
      <c r="AO69" s="524">
        <f>B16</f>
        <v>3</v>
      </c>
      <c r="AP69" s="879" t="s">
        <v>823</v>
      </c>
      <c r="AQ69" s="879"/>
      <c r="AR69" s="879"/>
      <c r="AS69" s="879"/>
      <c r="AT69" s="879"/>
      <c r="AU69" s="357"/>
      <c r="AV69" s="357"/>
      <c r="AW69" s="357"/>
      <c r="BB69" s="506" t="s">
        <v>799</v>
      </c>
      <c r="BC69" s="92"/>
      <c r="BD69" s="867">
        <f>(AB64+AH59)/T25</f>
        <v>6.6698398298981125</v>
      </c>
      <c r="BE69" s="867"/>
      <c r="BF69" s="506" t="s">
        <v>705</v>
      </c>
      <c r="BH69" s="900" t="s">
        <v>756</v>
      </c>
      <c r="BI69" s="900"/>
      <c r="BJ69" s="900"/>
      <c r="BK69" s="900"/>
      <c r="BL69" s="900"/>
      <c r="BM69" s="901">
        <f>B16</f>
        <v>3</v>
      </c>
      <c r="BN69" s="901"/>
    </row>
    <row r="70" spans="3:66" ht="18" customHeight="1">
      <c r="C70" s="443">
        <v>8.6999999999999993</v>
      </c>
      <c r="D70" s="458">
        <f t="shared" si="20"/>
        <v>11.685315993788818</v>
      </c>
      <c r="E70" s="458">
        <f t="shared" si="27"/>
        <v>11.842065993788818</v>
      </c>
      <c r="F70" s="335">
        <f t="shared" si="21"/>
        <v>10.838333333333333</v>
      </c>
      <c r="G70" s="335">
        <f t="shared" si="22"/>
        <v>1.7714900815008459</v>
      </c>
      <c r="H70" s="335">
        <f t="shared" si="23"/>
        <v>16.164846993695217</v>
      </c>
      <c r="I70" s="335">
        <f t="shared" si="24"/>
        <v>1.3831624787374914</v>
      </c>
      <c r="J70" s="335">
        <f t="shared" si="25"/>
        <v>1.3339396147254809</v>
      </c>
      <c r="K70" s="335">
        <f t="shared" si="28"/>
        <v>13.068478472526309</v>
      </c>
      <c r="L70" s="335">
        <f t="shared" si="29"/>
        <v>13.176005608514298</v>
      </c>
      <c r="M70" s="476">
        <f t="shared" si="26"/>
        <v>7.5034326158045799</v>
      </c>
      <c r="N70" s="476">
        <f t="shared" si="30"/>
        <v>5.0595861536694908</v>
      </c>
      <c r="O70" s="485" t="str">
        <f t="shared" si="31"/>
        <v>NO</v>
      </c>
      <c r="P70" s="488" t="str">
        <f t="shared" si="32"/>
        <v/>
      </c>
      <c r="Q70" s="357"/>
      <c r="R70" s="357" t="s">
        <v>821</v>
      </c>
      <c r="S70" s="357"/>
      <c r="T70" s="357"/>
      <c r="U70" s="357"/>
      <c r="V70" s="357"/>
      <c r="W70" s="357"/>
      <c r="X70" s="357"/>
      <c r="Y70" s="357"/>
      <c r="Z70" s="357"/>
      <c r="AA70" s="878">
        <f>VLOOKUP(AA17,C3:N143,12)</f>
        <v>4.4943314510118215</v>
      </c>
      <c r="AB70" s="878"/>
      <c r="AC70" s="357" t="s">
        <v>705</v>
      </c>
      <c r="AD70" s="357"/>
      <c r="AE70" s="891" t="str">
        <f>IF(AA70&lt;B18,"less than allowable bearing pressure therefore okay","greater than allowable bearing pressure therefore no good")</f>
        <v>greater than allowable bearing pressure therefore no good</v>
      </c>
      <c r="AF70" s="891"/>
      <c r="AG70" s="891"/>
      <c r="AH70" s="891"/>
      <c r="AI70" s="891"/>
      <c r="AJ70" s="891"/>
      <c r="AK70" s="891"/>
      <c r="AL70" s="891"/>
      <c r="AM70" s="891"/>
      <c r="AN70" s="891"/>
      <c r="AO70" s="891"/>
      <c r="AP70" s="891"/>
      <c r="AQ70" s="891"/>
      <c r="AR70" s="891"/>
      <c r="AS70" s="891"/>
      <c r="AT70" s="891"/>
      <c r="AU70" s="891"/>
      <c r="AV70" s="891"/>
      <c r="AW70" s="891"/>
      <c r="BB70" s="506" t="s">
        <v>799</v>
      </c>
      <c r="BC70" s="92"/>
      <c r="BD70" s="867">
        <f>(AB65+AH60)/(T25+1.15*AG24)</f>
        <v>4.4943314510118215</v>
      </c>
      <c r="BE70" s="867"/>
      <c r="BF70" s="506" t="s">
        <v>705</v>
      </c>
    </row>
    <row r="71" spans="3:66" ht="18" customHeight="1">
      <c r="C71" s="443">
        <v>8.8000000000000007</v>
      </c>
      <c r="D71" s="458">
        <f t="shared" si="20"/>
        <v>11.79481599378882</v>
      </c>
      <c r="E71" s="458">
        <f t="shared" si="27"/>
        <v>11.951565993788821</v>
      </c>
      <c r="F71" s="335">
        <f t="shared" si="21"/>
        <v>10.953333333333333</v>
      </c>
      <c r="G71" s="335">
        <f t="shared" si="22"/>
        <v>1.7528910529519173</v>
      </c>
      <c r="H71" s="335">
        <f t="shared" si="23"/>
        <v>15.995130858186245</v>
      </c>
      <c r="I71" s="335">
        <f t="shared" si="24"/>
        <v>1.3619397250331537</v>
      </c>
      <c r="J71" s="335">
        <f t="shared" si="25"/>
        <v>1.3137010098607871</v>
      </c>
      <c r="K71" s="335">
        <f t="shared" si="28"/>
        <v>13.156755718821973</v>
      </c>
      <c r="L71" s="335">
        <f t="shared" si="29"/>
        <v>13.265267003649608</v>
      </c>
      <c r="M71" s="476">
        <f t="shared" si="26"/>
        <v>7.5541181160700335</v>
      </c>
      <c r="N71" s="476">
        <f t="shared" si="30"/>
        <v>5.0938625294014495</v>
      </c>
      <c r="O71" s="485" t="str">
        <f t="shared" si="31"/>
        <v>NO</v>
      </c>
      <c r="P71" s="488" t="str">
        <f t="shared" si="32"/>
        <v/>
      </c>
      <c r="Q71" s="357"/>
      <c r="R71" s="357"/>
      <c r="S71" s="515"/>
      <c r="T71" s="515"/>
      <c r="U71" s="357"/>
      <c r="V71" s="357"/>
      <c r="W71" s="357"/>
      <c r="X71" s="357"/>
      <c r="Y71" s="875" t="s">
        <v>837</v>
      </c>
      <c r="Z71" s="875"/>
      <c r="AA71" s="876">
        <f>B18</f>
        <v>4</v>
      </c>
      <c r="AB71" s="877"/>
      <c r="AC71" s="527"/>
      <c r="AE71" s="527" t="s">
        <v>838</v>
      </c>
      <c r="AF71" s="357"/>
      <c r="AG71" s="357"/>
      <c r="AH71" s="357"/>
      <c r="AI71" s="357"/>
      <c r="AJ71" s="357"/>
      <c r="AK71" s="357"/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  <c r="AV71" s="357"/>
      <c r="AW71" s="357"/>
    </row>
    <row r="72" spans="3:66" ht="18" customHeight="1">
      <c r="C72" s="443">
        <v>8.9</v>
      </c>
      <c r="D72" s="458">
        <f t="shared" si="20"/>
        <v>11.904315993788819</v>
      </c>
      <c r="E72" s="458">
        <f t="shared" si="27"/>
        <v>12.061065993788819</v>
      </c>
      <c r="F72" s="335">
        <f t="shared" si="21"/>
        <v>11.068333333333333</v>
      </c>
      <c r="G72" s="335">
        <f t="shared" si="22"/>
        <v>1.7346785122722481</v>
      </c>
      <c r="H72" s="335">
        <f t="shared" si="23"/>
        <v>15.828941424484263</v>
      </c>
      <c r="I72" s="335">
        <f t="shared" si="24"/>
        <v>1.3412225959421078</v>
      </c>
      <c r="J72" s="335">
        <f t="shared" si="25"/>
        <v>1.293940953311951</v>
      </c>
      <c r="K72" s="335">
        <f t="shared" si="28"/>
        <v>13.245538589730927</v>
      </c>
      <c r="L72" s="335">
        <f t="shared" si="29"/>
        <v>13.355006947100771</v>
      </c>
      <c r="M72" s="476">
        <f t="shared" si="26"/>
        <v>7.6050939271182365</v>
      </c>
      <c r="N72" s="476">
        <f t="shared" si="30"/>
        <v>5.128322667686696</v>
      </c>
      <c r="O72" s="485" t="str">
        <f t="shared" si="31"/>
        <v>NO</v>
      </c>
      <c r="P72" s="488" t="str">
        <f t="shared" si="32"/>
        <v/>
      </c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  <c r="AL72" s="357"/>
      <c r="AM72" s="357"/>
      <c r="AN72" s="357"/>
      <c r="AO72" s="357"/>
      <c r="AP72" s="357"/>
      <c r="AQ72" s="357"/>
      <c r="AR72" s="357"/>
      <c r="AS72" s="357"/>
      <c r="AT72" s="357"/>
      <c r="AU72" s="357"/>
      <c r="AV72" s="357"/>
      <c r="AW72" s="357"/>
    </row>
    <row r="73" spans="3:66" ht="18" customHeight="1">
      <c r="C73" s="443">
        <v>9</v>
      </c>
      <c r="D73" s="458">
        <f t="shared" si="20"/>
        <v>12.013815993788819</v>
      </c>
      <c r="E73" s="458">
        <f t="shared" si="27"/>
        <v>12.17056599378882</v>
      </c>
      <c r="F73" s="335">
        <f t="shared" si="21"/>
        <v>11.183333333333334</v>
      </c>
      <c r="G73" s="335">
        <f t="shared" si="22"/>
        <v>1.7168405365126675</v>
      </c>
      <c r="H73" s="335">
        <f t="shared" si="23"/>
        <v>15.66616989567809</v>
      </c>
      <c r="I73" s="335">
        <f t="shared" si="24"/>
        <v>1.3209945630084292</v>
      </c>
      <c r="J73" s="335">
        <f t="shared" si="25"/>
        <v>1.2746438765870809</v>
      </c>
      <c r="K73" s="335">
        <f t="shared" si="28"/>
        <v>13.334810556797249</v>
      </c>
      <c r="L73" s="335">
        <f t="shared" si="29"/>
        <v>13.445209870375901</v>
      </c>
      <c r="M73" s="476">
        <f t="shared" si="26"/>
        <v>7.6563505589266514</v>
      </c>
      <c r="N73" s="476">
        <f t="shared" si="30"/>
        <v>5.1629605902243467</v>
      </c>
      <c r="O73" s="485" t="str">
        <f t="shared" si="31"/>
        <v>NO</v>
      </c>
      <c r="P73" s="488" t="str">
        <f t="shared" si="32"/>
        <v/>
      </c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  <c r="AO73" s="357"/>
      <c r="AP73" s="357"/>
      <c r="AQ73" s="357"/>
      <c r="AR73" s="357"/>
      <c r="AS73" s="357"/>
      <c r="AT73" s="357"/>
      <c r="AU73" s="357"/>
      <c r="AV73" s="357"/>
      <c r="AW73" s="357"/>
    </row>
    <row r="74" spans="3:66" ht="18" customHeight="1">
      <c r="C74" s="443">
        <v>9.1000000000000014</v>
      </c>
      <c r="D74" s="458">
        <f t="shared" si="20"/>
        <v>12.123315993788822</v>
      </c>
      <c r="E74" s="458">
        <f t="shared" si="27"/>
        <v>12.280065993788822</v>
      </c>
      <c r="F74" s="335">
        <f t="shared" si="21"/>
        <v>11.298333333333336</v>
      </c>
      <c r="G74" s="335">
        <f t="shared" si="22"/>
        <v>1.6993656881545947</v>
      </c>
      <c r="H74" s="335">
        <f t="shared" si="23"/>
        <v>15.506711904410677</v>
      </c>
      <c r="I74" s="335">
        <f t="shared" si="24"/>
        <v>1.3012397884857128</v>
      </c>
      <c r="J74" s="335">
        <f t="shared" si="25"/>
        <v>1.255794859900647</v>
      </c>
      <c r="K74" s="335">
        <f t="shared" si="28"/>
        <v>13.424555782274535</v>
      </c>
      <c r="L74" s="335">
        <f t="shared" si="29"/>
        <v>13.535860853689469</v>
      </c>
      <c r="M74" s="476">
        <f t="shared" si="26"/>
        <v>7.7078789180523657</v>
      </c>
      <c r="N74" s="476">
        <f t="shared" si="30"/>
        <v>5.1977705678167565</v>
      </c>
      <c r="O74" s="485" t="str">
        <f t="shared" si="31"/>
        <v>NO</v>
      </c>
      <c r="P74" s="488" t="str">
        <f t="shared" si="32"/>
        <v/>
      </c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7"/>
      <c r="AS74" s="357"/>
      <c r="AT74" s="357"/>
      <c r="AU74" s="357"/>
      <c r="AV74" s="357"/>
      <c r="AW74" s="357"/>
    </row>
    <row r="75" spans="3:66" ht="18" customHeight="1">
      <c r="C75" s="443">
        <v>9.1999999999999993</v>
      </c>
      <c r="D75" s="458">
        <f t="shared" si="20"/>
        <v>12.232815993788817</v>
      </c>
      <c r="E75" s="458">
        <f t="shared" si="27"/>
        <v>12.389565993788818</v>
      </c>
      <c r="F75" s="335">
        <f t="shared" si="21"/>
        <v>11.413333333333332</v>
      </c>
      <c r="G75" s="335">
        <f t="shared" si="22"/>
        <v>1.6822429906542058</v>
      </c>
      <c r="H75" s="335">
        <f t="shared" si="23"/>
        <v>15.350467289719626</v>
      </c>
      <c r="I75" s="335">
        <f t="shared" si="24"/>
        <v>1.2819430901169897</v>
      </c>
      <c r="J75" s="335">
        <f t="shared" si="25"/>
        <v>1.2373795991511616</v>
      </c>
      <c r="K75" s="335">
        <f t="shared" si="28"/>
        <v>13.514759083905806</v>
      </c>
      <c r="L75" s="335">
        <f t="shared" si="29"/>
        <v>13.626945592939979</v>
      </c>
      <c r="M75" s="476">
        <f t="shared" si="26"/>
        <v>7.7596702874100334</v>
      </c>
      <c r="N75" s="476">
        <f t="shared" si="30"/>
        <v>5.2327471076889518</v>
      </c>
      <c r="O75" s="485" t="str">
        <f t="shared" si="31"/>
        <v>NO</v>
      </c>
      <c r="P75" s="488" t="str">
        <f t="shared" si="32"/>
        <v/>
      </c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  <c r="AL75" s="357"/>
      <c r="AM75" s="357"/>
      <c r="AN75" s="357"/>
      <c r="AO75" s="357"/>
      <c r="AP75" s="357"/>
      <c r="AQ75" s="357"/>
      <c r="AR75" s="357"/>
      <c r="AS75" s="357"/>
      <c r="AT75" s="357"/>
      <c r="AU75" s="357"/>
      <c r="AV75" s="357"/>
      <c r="AW75" s="357"/>
    </row>
    <row r="76" spans="3:66" ht="18" customHeight="1">
      <c r="C76" s="443">
        <v>9.3000000000000007</v>
      </c>
      <c r="D76" s="458">
        <f t="shared" si="20"/>
        <v>12.342315993788819</v>
      </c>
      <c r="E76" s="458">
        <f t="shared" si="27"/>
        <v>12.49906599378882</v>
      </c>
      <c r="F76" s="335">
        <f t="shared" si="21"/>
        <v>11.528333333333334</v>
      </c>
      <c r="G76" s="335">
        <f t="shared" si="22"/>
        <v>1.6654619054503395</v>
      </c>
      <c r="H76" s="335">
        <f t="shared" si="23"/>
        <v>15.197339887234348</v>
      </c>
      <c r="I76" s="335">
        <f t="shared" si="24"/>
        <v>1.2630899080346454</v>
      </c>
      <c r="J76" s="335">
        <f t="shared" si="25"/>
        <v>1.2193843748846576</v>
      </c>
      <c r="K76" s="335">
        <f t="shared" si="28"/>
        <v>13.605405901823465</v>
      </c>
      <c r="L76" s="335">
        <f t="shared" si="29"/>
        <v>13.718450368673478</v>
      </c>
      <c r="M76" s="476">
        <f t="shared" si="26"/>
        <v>7.8117163072670621</v>
      </c>
      <c r="N76" s="476">
        <f t="shared" si="30"/>
        <v>5.2678849415706157</v>
      </c>
      <c r="O76" s="485" t="str">
        <f t="shared" si="31"/>
        <v>NO</v>
      </c>
      <c r="P76" s="488" t="str">
        <f t="shared" si="32"/>
        <v/>
      </c>
      <c r="Q76" s="357"/>
      <c r="R76" s="357"/>
      <c r="S76" s="357"/>
      <c r="T76" s="357"/>
      <c r="U76" s="357"/>
      <c r="V76" s="357"/>
      <c r="W76" s="357"/>
      <c r="X76" s="357"/>
      <c r="Y76" s="357"/>
      <c r="Z76" s="357"/>
      <c r="AA76" s="357"/>
      <c r="AB76" s="357"/>
      <c r="AC76" s="357"/>
      <c r="AD76" s="357"/>
      <c r="AE76" s="357"/>
      <c r="AF76" s="357"/>
      <c r="AG76" s="357"/>
      <c r="AH76" s="357"/>
      <c r="AI76" s="357"/>
      <c r="AJ76" s="357"/>
      <c r="AK76" s="357"/>
      <c r="AL76" s="357"/>
      <c r="AM76" s="357"/>
      <c r="AN76" s="357"/>
      <c r="AO76" s="357"/>
      <c r="AP76" s="357"/>
      <c r="AQ76" s="357"/>
      <c r="AR76" s="357"/>
      <c r="AS76" s="357"/>
      <c r="AT76" s="357"/>
      <c r="AU76" s="357"/>
      <c r="AV76" s="357"/>
      <c r="AW76" s="357"/>
    </row>
    <row r="77" spans="3:66" ht="18" customHeight="1">
      <c r="C77" s="443">
        <v>9.4</v>
      </c>
      <c r="D77" s="458">
        <f t="shared" si="20"/>
        <v>12.45181599378882</v>
      </c>
      <c r="E77" s="458">
        <f t="shared" si="27"/>
        <v>12.608565993788821</v>
      </c>
      <c r="F77" s="335">
        <f t="shared" si="21"/>
        <v>11.643333333333333</v>
      </c>
      <c r="G77" s="335">
        <f t="shared" si="22"/>
        <v>1.6490123103349557</v>
      </c>
      <c r="H77" s="335">
        <f t="shared" si="23"/>
        <v>15.047237331806471</v>
      </c>
      <c r="I77" s="335">
        <f t="shared" si="24"/>
        <v>1.244666273633374</v>
      </c>
      <c r="J77" s="335">
        <f t="shared" si="25"/>
        <v>1.201796023106392</v>
      </c>
      <c r="K77" s="335">
        <f t="shared" si="28"/>
        <v>13.696482267422194</v>
      </c>
      <c r="L77" s="335">
        <f t="shared" si="29"/>
        <v>13.810362016895212</v>
      </c>
      <c r="M77" s="476">
        <f t="shared" si="26"/>
        <v>7.8640089573715954</v>
      </c>
      <c r="N77" s="476">
        <f t="shared" si="30"/>
        <v>5.3031790144877613</v>
      </c>
      <c r="O77" s="485" t="str">
        <f t="shared" si="31"/>
        <v>NO</v>
      </c>
      <c r="P77" s="488" t="str">
        <f t="shared" si="32"/>
        <v/>
      </c>
      <c r="Q77" s="357"/>
      <c r="R77" s="357"/>
      <c r="S77" s="357"/>
      <c r="T77" s="357"/>
      <c r="U77" s="357"/>
      <c r="V77" s="357"/>
      <c r="W77" s="357"/>
      <c r="X77" s="515"/>
      <c r="Y77" s="357"/>
      <c r="Z77" s="357"/>
      <c r="AA77" s="357"/>
      <c r="AB77" s="357"/>
      <c r="AC77" s="357"/>
      <c r="AD77" s="357"/>
      <c r="AE77" s="357"/>
      <c r="AF77" s="357"/>
      <c r="AG77" s="357"/>
      <c r="AH77" s="357"/>
      <c r="AI77" s="357"/>
      <c r="AJ77" s="357"/>
      <c r="AK77" s="357"/>
      <c r="AL77" s="357"/>
      <c r="AM77" s="357"/>
      <c r="AN77" s="357"/>
      <c r="AO77" s="357"/>
      <c r="AP77" s="357"/>
      <c r="AQ77" s="357"/>
      <c r="AR77" s="357"/>
      <c r="AS77" s="357"/>
      <c r="AT77" s="357"/>
      <c r="AU77" s="357"/>
      <c r="AV77" s="357"/>
      <c r="AW77" s="357"/>
    </row>
    <row r="78" spans="3:66" ht="18" customHeight="1">
      <c r="C78" s="443">
        <v>9.5</v>
      </c>
      <c r="D78" s="458">
        <f t="shared" si="20"/>
        <v>12.561315993788819</v>
      </c>
      <c r="E78" s="458">
        <f t="shared" si="27"/>
        <v>12.718065993788819</v>
      </c>
      <c r="F78" s="335">
        <f t="shared" si="21"/>
        <v>11.758333333333333</v>
      </c>
      <c r="G78" s="335">
        <f t="shared" si="22"/>
        <v>1.6328844790928421</v>
      </c>
      <c r="H78" s="335">
        <f t="shared" si="23"/>
        <v>14.900070871722184</v>
      </c>
      <c r="I78" s="335">
        <f t="shared" si="24"/>
        <v>1.2266587802807047</v>
      </c>
      <c r="J78" s="335">
        <f t="shared" si="25"/>
        <v>1.1846019078139376</v>
      </c>
      <c r="K78" s="335">
        <f t="shared" si="28"/>
        <v>13.787974774069523</v>
      </c>
      <c r="L78" s="335">
        <f t="shared" si="29"/>
        <v>13.902667901602758</v>
      </c>
      <c r="M78" s="476">
        <f t="shared" si="26"/>
        <v>7.9165405401356121</v>
      </c>
      <c r="N78" s="476">
        <f t="shared" si="30"/>
        <v>5.3386244742154592</v>
      </c>
      <c r="O78" s="485" t="str">
        <f t="shared" si="31"/>
        <v>NO</v>
      </c>
      <c r="P78" s="488" t="str">
        <f t="shared" si="32"/>
        <v/>
      </c>
      <c r="Q78" s="357"/>
      <c r="R78" s="357"/>
      <c r="S78" s="357"/>
      <c r="T78" s="357"/>
      <c r="U78" s="357"/>
      <c r="V78" s="357"/>
      <c r="W78" s="357"/>
      <c r="X78" s="357"/>
      <c r="Y78" s="357"/>
      <c r="Z78" s="357"/>
      <c r="AA78" s="357"/>
      <c r="AB78" s="357"/>
      <c r="AC78" s="357"/>
      <c r="AD78" s="357"/>
      <c r="AE78" s="357"/>
      <c r="AF78" s="357"/>
      <c r="AG78" s="357"/>
      <c r="AH78" s="357"/>
      <c r="AI78" s="357"/>
      <c r="AJ78" s="357"/>
      <c r="AK78" s="357"/>
      <c r="AL78" s="357"/>
      <c r="AM78" s="357"/>
      <c r="AN78" s="357"/>
      <c r="AO78" s="357"/>
      <c r="AP78" s="357"/>
      <c r="AQ78" s="357"/>
      <c r="AR78" s="357"/>
      <c r="AS78" s="357"/>
      <c r="AT78" s="357"/>
      <c r="AU78" s="357"/>
      <c r="AV78" s="357"/>
      <c r="AW78" s="357"/>
    </row>
    <row r="79" spans="3:66" ht="18" customHeight="1">
      <c r="C79" s="443">
        <v>9.6000000000000014</v>
      </c>
      <c r="D79" s="458">
        <f t="shared" si="20"/>
        <v>12.670815993788821</v>
      </c>
      <c r="E79" s="458">
        <f t="shared" si="27"/>
        <v>12.827565993788822</v>
      </c>
      <c r="F79" s="335">
        <f t="shared" si="21"/>
        <v>11.873333333333335</v>
      </c>
      <c r="G79" s="335">
        <f t="shared" si="22"/>
        <v>1.6170690623245365</v>
      </c>
      <c r="H79" s="335">
        <f t="shared" si="23"/>
        <v>14.755755193711396</v>
      </c>
      <c r="I79" s="335">
        <f t="shared" si="24"/>
        <v>1.2090545557401666</v>
      </c>
      <c r="J79" s="335">
        <f t="shared" si="25"/>
        <v>1.1677898951347003</v>
      </c>
      <c r="K79" s="335">
        <f t="shared" si="28"/>
        <v>13.879870549528988</v>
      </c>
      <c r="L79" s="335">
        <f t="shared" si="29"/>
        <v>13.995355888923521</v>
      </c>
      <c r="M79" s="476">
        <f t="shared" si="26"/>
        <v>7.969303664801334</v>
      </c>
      <c r="N79" s="476">
        <f t="shared" si="30"/>
        <v>5.3742166613466322</v>
      </c>
      <c r="O79" s="485" t="str">
        <f t="shared" si="31"/>
        <v>NO</v>
      </c>
      <c r="P79" s="488" t="str">
        <f t="shared" si="32"/>
        <v/>
      </c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7"/>
      <c r="AH79" s="357"/>
      <c r="AI79" s="357"/>
      <c r="AJ79" s="357"/>
      <c r="AK79" s="357"/>
      <c r="AL79" s="357"/>
      <c r="AM79" s="357"/>
      <c r="AN79" s="357"/>
      <c r="AO79" s="357"/>
      <c r="AP79" s="357"/>
      <c r="AQ79" s="357"/>
      <c r="AR79" s="357"/>
      <c r="AS79" s="357"/>
      <c r="AT79" s="357"/>
      <c r="AU79" s="357"/>
      <c r="AV79" s="357"/>
      <c r="AW79" s="357"/>
    </row>
    <row r="80" spans="3:66" ht="18" customHeight="1">
      <c r="C80" s="443">
        <v>9.6999999999999993</v>
      </c>
      <c r="D80" s="458">
        <f t="shared" si="20"/>
        <v>12.780315993788816</v>
      </c>
      <c r="E80" s="458">
        <f t="shared" si="27"/>
        <v>12.937065993788817</v>
      </c>
      <c r="F80" s="335">
        <f t="shared" si="21"/>
        <v>11.988333333333332</v>
      </c>
      <c r="G80" s="335">
        <f t="shared" si="22"/>
        <v>1.6015570693730017</v>
      </c>
      <c r="H80" s="335">
        <f t="shared" si="23"/>
        <v>14.61420825802864</v>
      </c>
      <c r="I80" s="335">
        <f t="shared" si="24"/>
        <v>1.1918412361917441</v>
      </c>
      <c r="J80" s="335">
        <f t="shared" si="25"/>
        <v>1.1513483289598614</v>
      </c>
      <c r="K80" s="335">
        <f t="shared" si="28"/>
        <v>13.97215722998056</v>
      </c>
      <c r="L80" s="335">
        <f t="shared" si="29"/>
        <v>14.088414322748678</v>
      </c>
      <c r="M80" s="476">
        <f t="shared" si="26"/>
        <v>8.022291232524724</v>
      </c>
      <c r="N80" s="476">
        <f t="shared" si="30"/>
        <v>5.4099510999354923</v>
      </c>
      <c r="O80" s="485" t="str">
        <f t="shared" si="31"/>
        <v>NO</v>
      </c>
      <c r="P80" s="488" t="str">
        <f t="shared" si="32"/>
        <v/>
      </c>
      <c r="Q80" s="357"/>
      <c r="R80" s="357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7"/>
      <c r="AK80" s="357"/>
      <c r="AL80" s="357"/>
      <c r="AM80" s="357"/>
      <c r="AN80" s="357"/>
      <c r="AO80" s="357"/>
      <c r="AP80" s="357"/>
      <c r="AQ80" s="357"/>
      <c r="AR80" s="357"/>
      <c r="AS80" s="357"/>
      <c r="AT80" s="357"/>
      <c r="AU80" s="357"/>
      <c r="AV80" s="357"/>
      <c r="AW80" s="357"/>
    </row>
    <row r="81" spans="3:49" ht="18" customHeight="1">
      <c r="C81" s="443">
        <v>9.8000000000000007</v>
      </c>
      <c r="D81" s="458">
        <f t="shared" si="20"/>
        <v>12.889815993788821</v>
      </c>
      <c r="E81" s="458">
        <f t="shared" si="27"/>
        <v>13.046565993788821</v>
      </c>
      <c r="F81" s="335">
        <f t="shared" si="21"/>
        <v>12.103333333333333</v>
      </c>
      <c r="G81" s="335">
        <f t="shared" si="22"/>
        <v>1.5863398512806388</v>
      </c>
      <c r="H81" s="335">
        <f t="shared" si="23"/>
        <v>14.475351142935828</v>
      </c>
      <c r="I81" s="335">
        <f t="shared" si="24"/>
        <v>1.1750069417430535</v>
      </c>
      <c r="J81" s="335">
        <f t="shared" si="25"/>
        <v>1.1352660079749681</v>
      </c>
      <c r="K81" s="335">
        <f t="shared" si="28"/>
        <v>14.064822935531874</v>
      </c>
      <c r="L81" s="335">
        <f t="shared" si="29"/>
        <v>14.181832001763789</v>
      </c>
      <c r="M81" s="476">
        <f t="shared" si="26"/>
        <v>8.0754964223149521</v>
      </c>
      <c r="N81" s="476">
        <f t="shared" si="30"/>
        <v>5.4458234886772949</v>
      </c>
      <c r="O81" s="485" t="str">
        <f t="shared" si="31"/>
        <v>NO</v>
      </c>
      <c r="P81" s="488" t="str">
        <f t="shared" si="32"/>
        <v/>
      </c>
      <c r="Q81" s="357"/>
      <c r="R81" s="357"/>
      <c r="S81" s="357"/>
      <c r="T81" s="357"/>
      <c r="U81" s="357"/>
      <c r="V81" s="357"/>
      <c r="W81" s="357"/>
      <c r="X81" s="357"/>
      <c r="Y81" s="357"/>
      <c r="Z81" s="357"/>
      <c r="AA81" s="357"/>
      <c r="AB81" s="357"/>
      <c r="AC81" s="357"/>
      <c r="AD81" s="357"/>
      <c r="AE81" s="357"/>
      <c r="AF81" s="357"/>
      <c r="AG81" s="357"/>
      <c r="AH81" s="357"/>
      <c r="AI81" s="357"/>
      <c r="AJ81" s="357"/>
      <c r="AK81" s="357"/>
      <c r="AL81" s="357"/>
      <c r="AM81" s="357"/>
      <c r="AN81" s="357"/>
      <c r="AO81" s="357"/>
      <c r="AP81" s="357"/>
      <c r="AQ81" s="357"/>
      <c r="AR81" s="357"/>
      <c r="AS81" s="357"/>
      <c r="AT81" s="357"/>
      <c r="AU81" s="515"/>
      <c r="AV81" s="357"/>
      <c r="AW81" s="357"/>
    </row>
    <row r="82" spans="3:49" ht="18" customHeight="1">
      <c r="C82" s="443">
        <v>9.9</v>
      </c>
      <c r="D82" s="458">
        <f t="shared" si="20"/>
        <v>12.999315993788819</v>
      </c>
      <c r="E82" s="458">
        <f t="shared" si="27"/>
        <v>13.15606599378882</v>
      </c>
      <c r="F82" s="335">
        <f t="shared" si="21"/>
        <v>12.218333333333334</v>
      </c>
      <c r="G82" s="335">
        <f t="shared" si="22"/>
        <v>1.5714090847087709</v>
      </c>
      <c r="H82" s="335">
        <f t="shared" si="23"/>
        <v>14.339107897967535</v>
      </c>
      <c r="I82" s="335">
        <f t="shared" si="24"/>
        <v>1.1585402533327303</v>
      </c>
      <c r="J82" s="335">
        <f t="shared" si="25"/>
        <v>1.1195321639949278</v>
      </c>
      <c r="K82" s="335">
        <f t="shared" si="28"/>
        <v>14.157856247121551</v>
      </c>
      <c r="L82" s="335">
        <f t="shared" si="29"/>
        <v>14.275598157783747</v>
      </c>
      <c r="M82" s="476">
        <f t="shared" si="26"/>
        <v>8.1289126777731404</v>
      </c>
      <c r="N82" s="476">
        <f t="shared" si="30"/>
        <v>5.4818296925889589</v>
      </c>
      <c r="O82" s="485" t="str">
        <f t="shared" si="31"/>
        <v>NO</v>
      </c>
      <c r="P82" s="488" t="str">
        <f t="shared" si="32"/>
        <v/>
      </c>
      <c r="Q82" s="357"/>
      <c r="R82" s="357"/>
      <c r="S82" s="357"/>
      <c r="T82" s="357"/>
      <c r="U82" s="357"/>
      <c r="V82" s="357"/>
      <c r="W82" s="357"/>
      <c r="X82" s="357"/>
      <c r="Y82" s="357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7"/>
      <c r="AK82" s="357"/>
      <c r="AL82" s="357"/>
      <c r="AM82" s="357"/>
      <c r="AN82" s="357"/>
      <c r="AO82" s="357"/>
      <c r="AP82" s="357"/>
      <c r="AQ82" s="357"/>
      <c r="AR82" s="357"/>
      <c r="AS82" s="357"/>
      <c r="AT82" s="357"/>
      <c r="AU82" s="357"/>
      <c r="AV82" s="357"/>
      <c r="AW82" s="357"/>
    </row>
    <row r="83" spans="3:49" ht="18" customHeight="1">
      <c r="C83" s="443">
        <v>10</v>
      </c>
      <c r="D83" s="458">
        <f t="shared" si="20"/>
        <v>13.108815993788818</v>
      </c>
      <c r="E83" s="458">
        <f t="shared" si="27"/>
        <v>13.265565993788819</v>
      </c>
      <c r="F83" s="335">
        <f t="shared" si="21"/>
        <v>12.333333333333334</v>
      </c>
      <c r="G83" s="335">
        <f t="shared" si="22"/>
        <v>1.5567567567567566</v>
      </c>
      <c r="H83" s="335">
        <f t="shared" si="23"/>
        <v>14.205405405405402</v>
      </c>
      <c r="I83" s="335">
        <f t="shared" si="24"/>
        <v>1.1424301909348402</v>
      </c>
      <c r="J83" s="335">
        <f t="shared" si="25"/>
        <v>1.1041364415180299</v>
      </c>
      <c r="K83" s="335">
        <f t="shared" si="28"/>
        <v>14.251246184723659</v>
      </c>
      <c r="L83" s="335">
        <f t="shared" si="29"/>
        <v>14.369702435306849</v>
      </c>
      <c r="M83" s="476">
        <f t="shared" si="26"/>
        <v>8.1825336945781775</v>
      </c>
      <c r="N83" s="476">
        <f t="shared" si="30"/>
        <v>5.51796573515783</v>
      </c>
      <c r="O83" s="485" t="str">
        <f t="shared" si="31"/>
        <v>NO</v>
      </c>
      <c r="P83" s="488" t="str">
        <f t="shared" si="32"/>
        <v/>
      </c>
      <c r="Q83" s="357"/>
      <c r="R83" s="357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357"/>
      <c r="AG83" s="357"/>
      <c r="AH83" s="357"/>
      <c r="AI83" s="357"/>
      <c r="AJ83" s="357"/>
      <c r="AK83" s="357"/>
      <c r="AL83" s="357"/>
      <c r="AM83" s="357"/>
      <c r="AN83" s="357"/>
      <c r="AO83" s="357"/>
      <c r="AP83" s="357"/>
      <c r="AQ83" s="357"/>
      <c r="AR83" s="357"/>
      <c r="AS83" s="357"/>
      <c r="AT83" s="357"/>
      <c r="AU83" s="357"/>
      <c r="AV83" s="357"/>
      <c r="AW83" s="357"/>
    </row>
    <row r="84" spans="3:49" ht="18" customHeight="1">
      <c r="C84" s="443">
        <v>10.1</v>
      </c>
      <c r="D84" s="458">
        <f t="shared" si="20"/>
        <v>13.218315993788821</v>
      </c>
      <c r="E84" s="458">
        <f t="shared" si="27"/>
        <v>13.375065993788821</v>
      </c>
      <c r="F84" s="335">
        <f t="shared" si="21"/>
        <v>12.448333333333332</v>
      </c>
      <c r="G84" s="335">
        <f t="shared" si="22"/>
        <v>1.5423751506225734</v>
      </c>
      <c r="H84" s="335">
        <f t="shared" si="23"/>
        <v>14.074173249430983</v>
      </c>
      <c r="I84" s="335">
        <f t="shared" si="24"/>
        <v>1.1266661929799155</v>
      </c>
      <c r="J84" s="335">
        <f t="shared" si="25"/>
        <v>1.0890688784199629</v>
      </c>
      <c r="K84" s="335">
        <f t="shared" si="28"/>
        <v>14.344982186768735</v>
      </c>
      <c r="L84" s="335">
        <f t="shared" si="29"/>
        <v>14.464134872208785</v>
      </c>
      <c r="M84" s="476">
        <f t="shared" si="26"/>
        <v>8.2363534086710448</v>
      </c>
      <c r="N84" s="476">
        <f t="shared" si="30"/>
        <v>5.5542277909281736</v>
      </c>
      <c r="O84" s="485" t="str">
        <f t="shared" si="31"/>
        <v>NO</v>
      </c>
      <c r="P84" s="488" t="str">
        <f t="shared" si="32"/>
        <v/>
      </c>
      <c r="Q84" s="357"/>
      <c r="R84" s="357"/>
      <c r="S84" s="357"/>
      <c r="T84" s="357"/>
      <c r="U84" s="357"/>
      <c r="V84" s="357"/>
      <c r="W84" s="357"/>
      <c r="X84" s="357"/>
      <c r="Y84" s="357"/>
      <c r="Z84" s="357"/>
      <c r="AA84" s="357"/>
      <c r="AB84" s="357"/>
      <c r="AC84" s="357"/>
      <c r="AD84" s="357"/>
      <c r="AE84" s="357"/>
      <c r="AF84" s="357"/>
      <c r="AG84" s="357"/>
      <c r="AH84" s="357"/>
      <c r="AI84" s="357"/>
      <c r="AJ84" s="357"/>
      <c r="AK84" s="357"/>
      <c r="AL84" s="357"/>
      <c r="AM84" s="357"/>
      <c r="AN84" s="357"/>
      <c r="AO84" s="357"/>
      <c r="AP84" s="357"/>
      <c r="AQ84" s="357"/>
      <c r="AR84" s="357"/>
      <c r="AS84" s="357"/>
      <c r="AT84" s="357"/>
      <c r="AU84" s="357"/>
      <c r="AV84" s="357"/>
      <c r="AW84" s="357"/>
    </row>
    <row r="85" spans="3:49" ht="18" customHeight="1">
      <c r="C85" s="443">
        <v>10.200000000000001</v>
      </c>
      <c r="D85" s="458">
        <f t="shared" si="20"/>
        <v>13.327815993788821</v>
      </c>
      <c r="E85" s="458">
        <f t="shared" si="27"/>
        <v>13.484565993788822</v>
      </c>
      <c r="F85" s="335">
        <f t="shared" si="21"/>
        <v>12.563333333333334</v>
      </c>
      <c r="G85" s="335">
        <f t="shared" si="22"/>
        <v>1.5282568320509418</v>
      </c>
      <c r="H85" s="335">
        <f t="shared" si="23"/>
        <v>13.945343592464845</v>
      </c>
      <c r="I85" s="335">
        <f t="shared" si="24"/>
        <v>1.1112380969143756</v>
      </c>
      <c r="J85" s="335">
        <f t="shared" si="25"/>
        <v>1.0743198877145625</v>
      </c>
      <c r="K85" s="335">
        <f t="shared" si="28"/>
        <v>14.439054090703197</v>
      </c>
      <c r="L85" s="335">
        <f t="shared" si="29"/>
        <v>14.558885881503384</v>
      </c>
      <c r="M85" s="476">
        <f t="shared" si="26"/>
        <v>8.2903659850927447</v>
      </c>
      <c r="N85" s="476">
        <f t="shared" si="30"/>
        <v>5.5906121784972997</v>
      </c>
      <c r="O85" s="485" t="str">
        <f t="shared" si="31"/>
        <v>NO</v>
      </c>
      <c r="P85" s="488" t="str">
        <f t="shared" si="32"/>
        <v/>
      </c>
      <c r="Q85" s="357"/>
      <c r="R85" s="357"/>
      <c r="S85" s="357"/>
      <c r="T85" s="357"/>
      <c r="U85" s="357"/>
      <c r="V85" s="357"/>
      <c r="W85" s="357"/>
      <c r="X85" s="357"/>
      <c r="Y85" s="357"/>
      <c r="Z85" s="357"/>
      <c r="AA85" s="357"/>
      <c r="AB85" s="357"/>
      <c r="AC85" s="357"/>
      <c r="AD85" s="357"/>
      <c r="AE85" s="357"/>
      <c r="AF85" s="357"/>
      <c r="AG85" s="357"/>
      <c r="AH85" s="357"/>
      <c r="AI85" s="357"/>
      <c r="AJ85" s="357"/>
      <c r="AK85" s="357"/>
      <c r="AL85" s="357"/>
      <c r="AM85" s="357"/>
      <c r="AN85" s="357"/>
      <c r="AO85" s="357"/>
      <c r="AP85" s="357"/>
      <c r="AQ85" s="357"/>
      <c r="AR85" s="357"/>
      <c r="AS85" s="357"/>
      <c r="AT85" s="357"/>
      <c r="AU85" s="357"/>
      <c r="AV85" s="357"/>
      <c r="AW85" s="357"/>
    </row>
    <row r="86" spans="3:49" ht="18" customHeight="1">
      <c r="C86" s="443">
        <v>10.3</v>
      </c>
      <c r="D86" s="458">
        <f t="shared" si="20"/>
        <v>13.43731599378882</v>
      </c>
      <c r="E86" s="458">
        <f t="shared" si="27"/>
        <v>13.594065993788821</v>
      </c>
      <c r="F86" s="335">
        <f t="shared" si="21"/>
        <v>12.678333333333335</v>
      </c>
      <c r="G86" s="335">
        <f t="shared" si="22"/>
        <v>1.5143946365189955</v>
      </c>
      <c r="H86" s="335">
        <f t="shared" si="23"/>
        <v>13.818851058235834</v>
      </c>
      <c r="I86" s="335">
        <f t="shared" si="24"/>
        <v>1.096136120825806</v>
      </c>
      <c r="J86" s="335">
        <f t="shared" si="25"/>
        <v>1.059880240313376</v>
      </c>
      <c r="K86" s="335">
        <f t="shared" si="28"/>
        <v>14.533452114614626</v>
      </c>
      <c r="L86" s="335">
        <f t="shared" si="29"/>
        <v>14.653946234102197</v>
      </c>
      <c r="M86" s="476">
        <f t="shared" si="26"/>
        <v>8.3445658074342361</v>
      </c>
      <c r="N86" s="476">
        <f t="shared" si="30"/>
        <v>5.6271153538952436</v>
      </c>
      <c r="O86" s="485" t="str">
        <f t="shared" si="31"/>
        <v>NO</v>
      </c>
      <c r="P86" s="488" t="str">
        <f t="shared" si="32"/>
        <v/>
      </c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357"/>
      <c r="AG86" s="357"/>
      <c r="AH86" s="357"/>
      <c r="AI86" s="357"/>
      <c r="AJ86" s="357"/>
      <c r="AK86" s="357"/>
      <c r="AL86" s="357"/>
      <c r="AM86" s="357"/>
      <c r="AN86" s="357"/>
      <c r="AO86" s="357"/>
      <c r="AP86" s="357"/>
      <c r="AQ86" s="357"/>
      <c r="AR86" s="357"/>
      <c r="AS86" s="357"/>
      <c r="AT86" s="357"/>
      <c r="AU86" s="357"/>
      <c r="AV86" s="357"/>
      <c r="AW86" s="357"/>
    </row>
    <row r="87" spans="3:49" ht="18" customHeight="1">
      <c r="C87" s="443">
        <v>10.4</v>
      </c>
      <c r="D87" s="458">
        <f t="shared" si="20"/>
        <v>13.546815993788819</v>
      </c>
      <c r="E87" s="458">
        <f t="shared" si="27"/>
        <v>13.703565993788819</v>
      </c>
      <c r="F87" s="335">
        <f t="shared" si="21"/>
        <v>12.793333333333333</v>
      </c>
      <c r="G87" s="335">
        <f t="shared" si="22"/>
        <v>1.5007816571130796</v>
      </c>
      <c r="H87" s="335">
        <f t="shared" si="23"/>
        <v>13.694632621156851</v>
      </c>
      <c r="I87" s="335">
        <f t="shared" si="24"/>
        <v>1.08135084606677</v>
      </c>
      <c r="J87" s="335">
        <f t="shared" si="25"/>
        <v>1.0457410487209928</v>
      </c>
      <c r="K87" s="335">
        <f t="shared" si="28"/>
        <v>14.628166839855588</v>
      </c>
      <c r="L87" s="335">
        <f t="shared" si="29"/>
        <v>14.749307042509813</v>
      </c>
      <c r="M87" s="476">
        <f t="shared" si="26"/>
        <v>8.3989474678596689</v>
      </c>
      <c r="N87" s="476">
        <f t="shared" si="30"/>
        <v>5.6637339043237684</v>
      </c>
      <c r="O87" s="485" t="str">
        <f t="shared" si="31"/>
        <v>NO</v>
      </c>
      <c r="P87" s="488" t="str">
        <f t="shared" si="32"/>
        <v/>
      </c>
      <c r="Q87" s="357"/>
      <c r="R87" s="357"/>
      <c r="S87" s="357"/>
      <c r="T87" s="357"/>
      <c r="U87" s="357"/>
      <c r="V87" s="357"/>
      <c r="W87" s="357"/>
      <c r="X87" s="357"/>
      <c r="Y87" s="357"/>
      <c r="Z87" s="357"/>
      <c r="AA87" s="357"/>
      <c r="AB87" s="357"/>
      <c r="AC87" s="357"/>
      <c r="AD87" s="357"/>
      <c r="AE87" s="357"/>
      <c r="AF87" s="357"/>
      <c r="AG87" s="357"/>
      <c r="AH87" s="357"/>
      <c r="AI87" s="357"/>
      <c r="AJ87" s="357"/>
      <c r="AK87" s="357"/>
      <c r="AL87" s="357"/>
      <c r="AM87" s="357"/>
      <c r="AN87" s="357"/>
      <c r="AO87" s="357"/>
      <c r="AP87" s="357"/>
      <c r="AQ87" s="357"/>
      <c r="AR87" s="357"/>
      <c r="AS87" s="357"/>
      <c r="AT87" s="357"/>
      <c r="AU87" s="357"/>
      <c r="AV87" s="357"/>
      <c r="AW87" s="357"/>
    </row>
    <row r="88" spans="3:49" ht="18" customHeight="1">
      <c r="C88" s="443">
        <v>10.5</v>
      </c>
      <c r="D88" s="458">
        <f t="shared" si="20"/>
        <v>13.656315993788818</v>
      </c>
      <c r="E88" s="458">
        <f t="shared" si="27"/>
        <v>13.813065993788818</v>
      </c>
      <c r="F88" s="335">
        <f t="shared" si="21"/>
        <v>12.908333333333333</v>
      </c>
      <c r="G88" s="335">
        <f t="shared" si="22"/>
        <v>1.4874112330535829</v>
      </c>
      <c r="H88" s="335">
        <f t="shared" si="23"/>
        <v>13.572627501613944</v>
      </c>
      <c r="I88" s="335">
        <f t="shared" si="24"/>
        <v>1.0668732008146555</v>
      </c>
      <c r="J88" s="335">
        <f t="shared" si="25"/>
        <v>1.0318937516076176</v>
      </c>
      <c r="K88" s="335">
        <f t="shared" si="28"/>
        <v>14.723189194603473</v>
      </c>
      <c r="L88" s="335">
        <f t="shared" si="29"/>
        <v>14.844959745396435</v>
      </c>
      <c r="M88" s="476">
        <f t="shared" si="26"/>
        <v>8.4535057576670667</v>
      </c>
      <c r="N88" s="476">
        <f t="shared" si="30"/>
        <v>5.7004645422322318</v>
      </c>
      <c r="O88" s="485" t="str">
        <f t="shared" si="31"/>
        <v>NO</v>
      </c>
      <c r="P88" s="488" t="str">
        <f t="shared" si="32"/>
        <v/>
      </c>
      <c r="Q88" s="357"/>
      <c r="R88" s="357"/>
      <c r="S88" s="357"/>
      <c r="T88" s="357"/>
      <c r="U88" s="357"/>
      <c r="V88" s="357"/>
      <c r="W88" s="357"/>
      <c r="X88" s="357"/>
      <c r="Y88" s="357"/>
      <c r="Z88" s="357"/>
      <c r="AA88" s="357"/>
      <c r="AB88" s="357"/>
      <c r="AC88" s="357"/>
      <c r="AD88" s="357"/>
      <c r="AE88" s="357"/>
      <c r="AF88" s="357"/>
      <c r="AG88" s="357"/>
      <c r="AH88" s="357"/>
      <c r="AI88" s="357"/>
      <c r="AJ88" s="357"/>
      <c r="AK88" s="357"/>
      <c r="AL88" s="357"/>
      <c r="AM88" s="357"/>
      <c r="AN88" s="357"/>
      <c r="AO88" s="357"/>
      <c r="AP88" s="357"/>
      <c r="AQ88" s="357"/>
      <c r="AR88" s="357"/>
      <c r="AS88" s="357"/>
      <c r="AT88" s="357"/>
      <c r="AU88" s="357"/>
      <c r="AV88" s="357"/>
      <c r="AW88" s="357"/>
    </row>
    <row r="89" spans="3:49" ht="18" customHeight="1">
      <c r="C89" s="443">
        <v>10.6</v>
      </c>
      <c r="D89" s="458">
        <f t="shared" si="20"/>
        <v>13.765815993788822</v>
      </c>
      <c r="E89" s="458">
        <f t="shared" si="27"/>
        <v>13.922565993788822</v>
      </c>
      <c r="F89" s="335">
        <f t="shared" si="21"/>
        <v>13.023333333333333</v>
      </c>
      <c r="G89" s="335">
        <f t="shared" si="22"/>
        <v>1.474276938827745</v>
      </c>
      <c r="H89" s="335">
        <f t="shared" si="23"/>
        <v>13.452777066803174</v>
      </c>
      <c r="I89" s="335">
        <f t="shared" si="24"/>
        <v>1.0526944445094673</v>
      </c>
      <c r="J89" s="335">
        <f t="shared" si="25"/>
        <v>1.0183300992044793</v>
      </c>
      <c r="K89" s="335">
        <f t="shared" si="28"/>
        <v>14.81851043829829</v>
      </c>
      <c r="L89" s="335">
        <f t="shared" si="29"/>
        <v>14.940896092993302</v>
      </c>
      <c r="M89" s="476">
        <f t="shared" si="26"/>
        <v>8.5082356583530867</v>
      </c>
      <c r="N89" s="476">
        <f t="shared" si="30"/>
        <v>5.7373040997094282</v>
      </c>
      <c r="O89" s="485" t="str">
        <f t="shared" si="31"/>
        <v>NO</v>
      </c>
      <c r="P89" s="488" t="str">
        <f t="shared" si="32"/>
        <v/>
      </c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357"/>
      <c r="AG89" s="357"/>
      <c r="AH89" s="357"/>
      <c r="AI89" s="357"/>
      <c r="AJ89" s="357"/>
      <c r="AK89" s="357"/>
      <c r="AL89" s="357"/>
      <c r="AM89" s="357"/>
      <c r="AN89" s="357"/>
      <c r="AO89" s="357"/>
      <c r="AP89" s="357"/>
      <c r="AQ89" s="357"/>
      <c r="AR89" s="357"/>
      <c r="AS89" s="357"/>
      <c r="AT89" s="357"/>
      <c r="AU89" s="357"/>
      <c r="AV89" s="357"/>
      <c r="AW89" s="357"/>
    </row>
    <row r="90" spans="3:49" ht="18" customHeight="1">
      <c r="C90" s="443">
        <v>10.700000000000001</v>
      </c>
      <c r="D90" s="458">
        <f t="shared" si="20"/>
        <v>13.875315993788821</v>
      </c>
      <c r="E90" s="458">
        <f t="shared" si="27"/>
        <v>14.032065993788821</v>
      </c>
      <c r="F90" s="335">
        <f t="shared" si="21"/>
        <v>13.138333333333334</v>
      </c>
      <c r="G90" s="335">
        <f t="shared" si="22"/>
        <v>1.4613725738931878</v>
      </c>
      <c r="H90" s="335">
        <f t="shared" si="23"/>
        <v>13.335024736775338</v>
      </c>
      <c r="I90" s="335">
        <f t="shared" si="24"/>
        <v>1.0388061531155626</v>
      </c>
      <c r="J90" s="335">
        <f t="shared" si="25"/>
        <v>1.005042139471503</v>
      </c>
      <c r="K90" s="335">
        <f t="shared" si="28"/>
        <v>14.914122146904383</v>
      </c>
      <c r="L90" s="335">
        <f t="shared" si="29"/>
        <v>15.037108133260324</v>
      </c>
      <c r="M90" s="476">
        <f t="shared" si="26"/>
        <v>8.5631323331508433</v>
      </c>
      <c r="N90" s="476">
        <f t="shared" si="30"/>
        <v>5.7742495231719646</v>
      </c>
      <c r="O90" s="485" t="str">
        <f t="shared" si="31"/>
        <v>NO</v>
      </c>
      <c r="P90" s="488" t="str">
        <f t="shared" si="32"/>
        <v/>
      </c>
      <c r="Q90" s="357"/>
      <c r="R90" s="357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357"/>
      <c r="AG90" s="357"/>
      <c r="AH90" s="357"/>
      <c r="AI90" s="357"/>
      <c r="AJ90" s="357"/>
      <c r="AK90" s="357"/>
      <c r="AL90" s="357"/>
      <c r="AM90" s="357"/>
      <c r="AN90" s="357"/>
      <c r="AO90" s="357"/>
      <c r="AP90" s="357"/>
      <c r="AQ90" s="357"/>
      <c r="AR90" s="357"/>
      <c r="AS90" s="357"/>
      <c r="AT90" s="357"/>
      <c r="AU90" s="357"/>
      <c r="AV90" s="357"/>
      <c r="AW90" s="357"/>
    </row>
    <row r="91" spans="3:49" ht="18" customHeight="1">
      <c r="C91" s="443">
        <v>10.8</v>
      </c>
      <c r="D91" s="458">
        <f t="shared" si="20"/>
        <v>13.984815993788819</v>
      </c>
      <c r="E91" s="458">
        <f t="shared" si="27"/>
        <v>14.14156599378882</v>
      </c>
      <c r="F91" s="335">
        <f t="shared" si="21"/>
        <v>13.253333333333334</v>
      </c>
      <c r="G91" s="335">
        <f t="shared" si="22"/>
        <v>1.448692152917505</v>
      </c>
      <c r="H91" s="335">
        <f t="shared" si="23"/>
        <v>13.219315895372233</v>
      </c>
      <c r="I91" s="335">
        <f t="shared" si="24"/>
        <v>1.025200205157073</v>
      </c>
      <c r="J91" s="335">
        <f t="shared" si="25"/>
        <v>0.99202220499017757</v>
      </c>
      <c r="K91" s="335">
        <f t="shared" si="28"/>
        <v>15.010016198945893</v>
      </c>
      <c r="L91" s="335">
        <f t="shared" si="29"/>
        <v>15.133588198778998</v>
      </c>
      <c r="M91" s="476">
        <f t="shared" si="26"/>
        <v>8.6181911190119962</v>
      </c>
      <c r="N91" s="476">
        <f t="shared" si="30"/>
        <v>5.8112978683311356</v>
      </c>
      <c r="O91" s="485" t="str">
        <f t="shared" si="31"/>
        <v>NO</v>
      </c>
      <c r="P91" s="488" t="str">
        <f t="shared" si="32"/>
        <v/>
      </c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357"/>
      <c r="AG91" s="357"/>
      <c r="AH91" s="357"/>
      <c r="AI91" s="357"/>
      <c r="AJ91" s="357"/>
      <c r="AK91" s="357"/>
      <c r="AL91" s="357"/>
      <c r="AM91" s="357"/>
      <c r="AN91" s="357"/>
      <c r="AO91" s="357"/>
      <c r="AP91" s="357"/>
      <c r="AQ91" s="357"/>
      <c r="AR91" s="357"/>
      <c r="AS91" s="357"/>
      <c r="AT91" s="357"/>
      <c r="AU91" s="357"/>
      <c r="AV91" s="357"/>
      <c r="AW91" s="357"/>
    </row>
    <row r="92" spans="3:49" ht="18" customHeight="1">
      <c r="C92" s="443">
        <v>10.9</v>
      </c>
      <c r="D92" s="458">
        <f t="shared" si="20"/>
        <v>14.09431599378882</v>
      </c>
      <c r="E92" s="458">
        <f t="shared" si="27"/>
        <v>14.251065993788821</v>
      </c>
      <c r="F92" s="335">
        <f t="shared" si="21"/>
        <v>13.368333333333334</v>
      </c>
      <c r="G92" s="335">
        <f t="shared" si="22"/>
        <v>1.4362298965216307</v>
      </c>
      <c r="H92" s="335">
        <f t="shared" si="23"/>
        <v>13.10559780575988</v>
      </c>
      <c r="I92" s="335">
        <f t="shared" si="24"/>
        <v>1.0118687684802299</v>
      </c>
      <c r="J92" s="335">
        <f t="shared" si="25"/>
        <v>0.97926290053779519</v>
      </c>
      <c r="K92" s="335">
        <f t="shared" si="28"/>
        <v>15.10618476226905</v>
      </c>
      <c r="L92" s="335">
        <f t="shared" si="29"/>
        <v>15.230328894326616</v>
      </c>
      <c r="M92" s="476">
        <f t="shared" si="26"/>
        <v>8.6734075190061546</v>
      </c>
      <c r="N92" s="476">
        <f t="shared" si="30"/>
        <v>5.8484462954214207</v>
      </c>
      <c r="O92" s="485" t="str">
        <f t="shared" si="31"/>
        <v>NO</v>
      </c>
      <c r="P92" s="488" t="str">
        <f t="shared" si="32"/>
        <v/>
      </c>
      <c r="Q92" s="357"/>
      <c r="R92" s="357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  <c r="AN92" s="357"/>
      <c r="AO92" s="357"/>
      <c r="AP92" s="357"/>
      <c r="AQ92" s="357"/>
      <c r="AR92" s="357"/>
      <c r="AS92" s="357"/>
      <c r="AT92" s="357"/>
      <c r="AU92" s="357"/>
      <c r="AV92" s="357"/>
      <c r="AW92" s="357"/>
    </row>
    <row r="93" spans="3:49" ht="18" customHeight="1">
      <c r="C93" s="443">
        <v>11</v>
      </c>
      <c r="D93" s="458">
        <f t="shared" si="20"/>
        <v>14.203815993788819</v>
      </c>
      <c r="E93" s="458">
        <f t="shared" si="27"/>
        <v>14.360565993788819</v>
      </c>
      <c r="F93" s="335">
        <f t="shared" si="21"/>
        <v>13.483333333333333</v>
      </c>
      <c r="G93" s="335">
        <f t="shared" si="22"/>
        <v>1.4239802224969098</v>
      </c>
      <c r="H93" s="335">
        <f t="shared" si="23"/>
        <v>12.9938195302843</v>
      </c>
      <c r="I93" s="335">
        <f t="shared" si="24"/>
        <v>0.99880428769900953</v>
      </c>
      <c r="J93" s="335">
        <f t="shared" si="25"/>
        <v>0.96675709130224985</v>
      </c>
      <c r="K93" s="335">
        <f t="shared" si="28"/>
        <v>15.202620281487828</v>
      </c>
      <c r="L93" s="335">
        <f t="shared" si="29"/>
        <v>15.32732308509107</v>
      </c>
      <c r="M93" s="476">
        <f t="shared" si="26"/>
        <v>8.7287771951126292</v>
      </c>
      <c r="N93" s="476">
        <f t="shared" si="30"/>
        <v>5.8856920646749709</v>
      </c>
      <c r="O93" s="485" t="str">
        <f t="shared" si="31"/>
        <v>NO</v>
      </c>
      <c r="P93" s="488" t="str">
        <f t="shared" si="32"/>
        <v/>
      </c>
      <c r="Q93" s="357"/>
      <c r="R93" s="357"/>
      <c r="S93" s="357"/>
      <c r="T93" s="357"/>
      <c r="U93" s="357"/>
      <c r="V93" s="357"/>
      <c r="W93" s="357"/>
      <c r="X93" s="357"/>
      <c r="Y93" s="357"/>
      <c r="Z93" s="357"/>
      <c r="AA93" s="357"/>
      <c r="AB93" s="357"/>
      <c r="AC93" s="357"/>
      <c r="AD93" s="357"/>
      <c r="AE93" s="357"/>
      <c r="AF93" s="357"/>
      <c r="AG93" s="357"/>
      <c r="AH93" s="357"/>
      <c r="AI93" s="357"/>
      <c r="AJ93" s="357"/>
      <c r="AK93" s="357"/>
      <c r="AL93" s="357"/>
      <c r="AM93" s="357"/>
      <c r="AN93" s="357"/>
      <c r="AO93" s="357"/>
      <c r="AP93" s="357"/>
      <c r="AQ93" s="357"/>
      <c r="AR93" s="357"/>
      <c r="AS93" s="357"/>
      <c r="AT93" s="357"/>
      <c r="AU93" s="357"/>
      <c r="AV93" s="357"/>
      <c r="AW93" s="357"/>
    </row>
    <row r="94" spans="3:49" ht="18" customHeight="1">
      <c r="C94" s="443">
        <v>11.1</v>
      </c>
      <c r="D94" s="458">
        <f t="shared" si="20"/>
        <v>14.313315993788821</v>
      </c>
      <c r="E94" s="458">
        <f t="shared" si="27"/>
        <v>14.470065993788822</v>
      </c>
      <c r="F94" s="335">
        <f t="shared" si="21"/>
        <v>13.598333333333333</v>
      </c>
      <c r="G94" s="335">
        <f t="shared" si="22"/>
        <v>1.411937737467827</v>
      </c>
      <c r="H94" s="335">
        <f t="shared" si="23"/>
        <v>12.883931854393921</v>
      </c>
      <c r="I94" s="335">
        <f t="shared" si="24"/>
        <v>0.98599947228345886</v>
      </c>
      <c r="J94" s="335">
        <f t="shared" si="25"/>
        <v>0.95449789169932275</v>
      </c>
      <c r="K94" s="335">
        <f t="shared" si="28"/>
        <v>15.299315466072279</v>
      </c>
      <c r="L94" s="335">
        <f t="shared" si="29"/>
        <v>15.424563885488144</v>
      </c>
      <c r="M94" s="476">
        <f t="shared" si="26"/>
        <v>8.7842959613812148</v>
      </c>
      <c r="N94" s="476">
        <f t="shared" si="30"/>
        <v>5.9230325320274479</v>
      </c>
      <c r="O94" s="485" t="str">
        <f t="shared" si="31"/>
        <v>NO</v>
      </c>
      <c r="P94" s="488" t="str">
        <f t="shared" si="32"/>
        <v/>
      </c>
      <c r="Q94" s="357"/>
      <c r="R94" s="357"/>
      <c r="S94" s="357"/>
      <c r="T94" s="357"/>
      <c r="U94" s="357"/>
      <c r="V94" s="357"/>
      <c r="W94" s="357"/>
      <c r="X94" s="357"/>
      <c r="Y94" s="357"/>
      <c r="Z94" s="357"/>
      <c r="AA94" s="357"/>
      <c r="AB94" s="357"/>
      <c r="AC94" s="357"/>
      <c r="AD94" s="357"/>
      <c r="AE94" s="357"/>
      <c r="AF94" s="357"/>
      <c r="AG94" s="357"/>
      <c r="AH94" s="357"/>
      <c r="AI94" s="357"/>
      <c r="AJ94" s="357"/>
      <c r="AK94" s="357"/>
      <c r="AL94" s="357"/>
      <c r="AM94" s="357"/>
      <c r="AN94" s="357"/>
      <c r="AO94" s="357"/>
      <c r="AP94" s="357"/>
      <c r="AQ94" s="357"/>
      <c r="AR94" s="357"/>
      <c r="AS94" s="357"/>
      <c r="AT94" s="357"/>
      <c r="AU94" s="357"/>
      <c r="AV94" s="357"/>
      <c r="AW94" s="357"/>
    </row>
    <row r="95" spans="3:49" ht="18" customHeight="1">
      <c r="C95" s="443">
        <v>11.200000000000001</v>
      </c>
      <c r="D95" s="458">
        <f t="shared" si="20"/>
        <v>14.42281599378882</v>
      </c>
      <c r="E95" s="458">
        <f t="shared" si="27"/>
        <v>14.579565993788821</v>
      </c>
      <c r="F95" s="335">
        <f t="shared" si="21"/>
        <v>13.713333333333335</v>
      </c>
      <c r="G95" s="335">
        <f t="shared" si="22"/>
        <v>1.4000972289742342</v>
      </c>
      <c r="H95" s="335">
        <f t="shared" si="23"/>
        <v>12.775887214389888</v>
      </c>
      <c r="I95" s="335">
        <f t="shared" si="24"/>
        <v>0.97344728525281299</v>
      </c>
      <c r="J95" s="335">
        <f t="shared" si="25"/>
        <v>0.94247865475696524</v>
      </c>
      <c r="K95" s="335">
        <f t="shared" si="28"/>
        <v>15.396263279041634</v>
      </c>
      <c r="L95" s="335">
        <f t="shared" si="29"/>
        <v>15.522044648545785</v>
      </c>
      <c r="M95" s="476">
        <f t="shared" si="26"/>
        <v>8.839959777440173</v>
      </c>
      <c r="N95" s="476">
        <f t="shared" si="30"/>
        <v>5.9604651450415815</v>
      </c>
      <c r="O95" s="485" t="str">
        <f t="shared" si="31"/>
        <v>NO</v>
      </c>
      <c r="P95" s="488" t="str">
        <f t="shared" si="32"/>
        <v/>
      </c>
      <c r="Q95" s="357"/>
      <c r="R95" s="357"/>
      <c r="S95" s="357"/>
      <c r="T95" s="357"/>
      <c r="U95" s="357"/>
      <c r="V95" s="357"/>
      <c r="W95" s="357"/>
      <c r="X95" s="357"/>
      <c r="Y95" s="357"/>
      <c r="Z95" s="357"/>
      <c r="AA95" s="357"/>
      <c r="AB95" s="357"/>
      <c r="AC95" s="357"/>
      <c r="AD95" s="357"/>
      <c r="AE95" s="357"/>
      <c r="AF95" s="357"/>
      <c r="AG95" s="357"/>
      <c r="AH95" s="357"/>
      <c r="AI95" s="357"/>
      <c r="AJ95" s="357"/>
      <c r="AK95" s="357"/>
      <c r="AL95" s="357"/>
      <c r="AM95" s="357"/>
      <c r="AN95" s="357"/>
      <c r="AO95" s="357"/>
      <c r="AP95" s="357"/>
      <c r="AQ95" s="357"/>
      <c r="AR95" s="357"/>
      <c r="AS95" s="357"/>
      <c r="AT95" s="357"/>
      <c r="AU95" s="357"/>
      <c r="AV95" s="357"/>
      <c r="AW95" s="357"/>
    </row>
    <row r="96" spans="3:49" ht="18" customHeight="1">
      <c r="C96" s="443">
        <v>11.3</v>
      </c>
      <c r="D96" s="458">
        <f t="shared" si="20"/>
        <v>14.532315993788821</v>
      </c>
      <c r="E96" s="458">
        <f t="shared" si="27"/>
        <v>14.689065993788821</v>
      </c>
      <c r="F96" s="335">
        <f t="shared" si="21"/>
        <v>13.828333333333333</v>
      </c>
      <c r="G96" s="335">
        <f t="shared" si="22"/>
        <v>1.3884536579486562</v>
      </c>
      <c r="H96" s="335">
        <f t="shared" si="23"/>
        <v>12.669639628781487</v>
      </c>
      <c r="I96" s="335">
        <f t="shared" si="24"/>
        <v>0.96114093243802479</v>
      </c>
      <c r="J96" s="335">
        <f t="shared" si="25"/>
        <v>0.9306929620334411</v>
      </c>
      <c r="K96" s="335">
        <f t="shared" si="28"/>
        <v>15.493456926226845</v>
      </c>
      <c r="L96" s="335">
        <f t="shared" si="29"/>
        <v>15.619758955822263</v>
      </c>
      <c r="M96" s="476">
        <f t="shared" si="26"/>
        <v>8.8957647423312043</v>
      </c>
      <c r="N96" s="476">
        <f t="shared" si="30"/>
        <v>5.9979874390357493</v>
      </c>
      <c r="O96" s="485" t="str">
        <f t="shared" si="31"/>
        <v>NO</v>
      </c>
      <c r="P96" s="488" t="str">
        <f t="shared" si="32"/>
        <v/>
      </c>
      <c r="Q96" s="357"/>
      <c r="R96" s="357"/>
      <c r="S96" s="357"/>
      <c r="T96" s="357"/>
      <c r="U96" s="357"/>
      <c r="V96" s="357"/>
      <c r="W96" s="357"/>
      <c r="X96" s="357"/>
      <c r="Y96" s="357"/>
      <c r="Z96" s="357"/>
      <c r="AA96" s="357"/>
      <c r="AB96" s="357"/>
      <c r="AC96" s="357"/>
      <c r="AD96" s="357"/>
      <c r="AE96" s="357"/>
      <c r="AF96" s="357"/>
      <c r="AG96" s="357"/>
      <c r="AH96" s="357"/>
      <c r="AI96" s="357"/>
      <c r="AJ96" s="357"/>
      <c r="AK96" s="357"/>
      <c r="AL96" s="357"/>
      <c r="AM96" s="357"/>
      <c r="AN96" s="357"/>
      <c r="AO96" s="357"/>
      <c r="AP96" s="357"/>
      <c r="AQ96" s="357"/>
      <c r="AR96" s="357"/>
      <c r="AS96" s="357"/>
      <c r="AT96" s="357"/>
      <c r="AU96" s="357"/>
      <c r="AV96" s="357"/>
      <c r="AW96" s="357"/>
    </row>
    <row r="97" spans="3:49" ht="18" customHeight="1">
      <c r="C97" s="443">
        <v>11.4</v>
      </c>
      <c r="D97" s="458">
        <f t="shared" si="20"/>
        <v>14.641815993788819</v>
      </c>
      <c r="E97" s="458">
        <f t="shared" si="27"/>
        <v>14.79856599378882</v>
      </c>
      <c r="F97" s="335">
        <f t="shared" si="21"/>
        <v>13.943333333333333</v>
      </c>
      <c r="G97" s="335">
        <f t="shared" si="22"/>
        <v>1.3770021515658617</v>
      </c>
      <c r="H97" s="335">
        <f t="shared" si="23"/>
        <v>12.565144633038487</v>
      </c>
      <c r="I97" s="335">
        <f t="shared" si="24"/>
        <v>0.94907385228067687</v>
      </c>
      <c r="J97" s="335">
        <f t="shared" si="25"/>
        <v>0.91913461403838426</v>
      </c>
      <c r="K97" s="335">
        <f t="shared" si="28"/>
        <v>15.590889846069496</v>
      </c>
      <c r="L97" s="335">
        <f t="shared" si="29"/>
        <v>15.717700607827204</v>
      </c>
      <c r="M97" s="476">
        <f t="shared" si="26"/>
        <v>8.9517070886523431</v>
      </c>
      <c r="N97" s="476">
        <f t="shared" si="30"/>
        <v>6.0355970334056472</v>
      </c>
      <c r="O97" s="485" t="str">
        <f t="shared" si="31"/>
        <v>NO</v>
      </c>
      <c r="P97" s="488" t="str">
        <f t="shared" si="32"/>
        <v/>
      </c>
      <c r="Q97" s="357"/>
      <c r="R97" s="357"/>
      <c r="S97" s="357"/>
      <c r="T97" s="357"/>
      <c r="U97" s="357"/>
      <c r="V97" s="357"/>
      <c r="W97" s="357"/>
      <c r="X97" s="357"/>
      <c r="Y97" s="357"/>
      <c r="Z97" s="357"/>
      <c r="AA97" s="357"/>
      <c r="AB97" s="357"/>
      <c r="AC97" s="357"/>
      <c r="AD97" s="357"/>
      <c r="AE97" s="357"/>
      <c r="AF97" s="357"/>
      <c r="AG97" s="357"/>
      <c r="AH97" s="357"/>
      <c r="AI97" s="357"/>
      <c r="AJ97" s="357"/>
      <c r="AK97" s="357"/>
      <c r="AL97" s="357"/>
      <c r="AM97" s="357"/>
      <c r="AN97" s="357"/>
      <c r="AO97" s="357"/>
      <c r="AP97" s="357"/>
      <c r="AQ97" s="357"/>
      <c r="AR97" s="357"/>
      <c r="AS97" s="357"/>
      <c r="AT97" s="357"/>
      <c r="AU97" s="357"/>
      <c r="AV97" s="357"/>
      <c r="AW97" s="357"/>
    </row>
    <row r="98" spans="3:49" ht="18" customHeight="1">
      <c r="C98" s="443">
        <v>11.5</v>
      </c>
      <c r="D98" s="458">
        <f t="shared" si="20"/>
        <v>14.751315993788818</v>
      </c>
      <c r="E98" s="458">
        <f t="shared" si="27"/>
        <v>14.908065993788819</v>
      </c>
      <c r="F98" s="335">
        <f t="shared" si="21"/>
        <v>28.058333333333334</v>
      </c>
      <c r="G98" s="335">
        <f t="shared" si="22"/>
        <v>1.3685773685773686</v>
      </c>
      <c r="H98" s="335">
        <f t="shared" si="23"/>
        <v>12.488268488268488</v>
      </c>
      <c r="I98" s="335">
        <f t="shared" si="24"/>
        <v>0.93918822943499791</v>
      </c>
      <c r="J98" s="335">
        <f t="shared" si="25"/>
        <v>0.9096849342695007</v>
      </c>
      <c r="K98" s="335">
        <f t="shared" si="28"/>
        <v>15.690504223223817</v>
      </c>
      <c r="L98" s="335">
        <f t="shared" si="29"/>
        <v>15.81775092805832</v>
      </c>
      <c r="M98" s="476">
        <f t="shared" si="26"/>
        <v>9.0089019463486046</v>
      </c>
      <c r="N98" s="476">
        <f t="shared" si="30"/>
        <v>6.0740163563743952</v>
      </c>
      <c r="O98" s="485" t="str">
        <f t="shared" si="31"/>
        <v>NO</v>
      </c>
      <c r="P98" s="488" t="str">
        <f t="shared" si="32"/>
        <v/>
      </c>
      <c r="Q98" s="357"/>
      <c r="R98" s="35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357"/>
      <c r="AG98" s="357"/>
      <c r="AH98" s="357"/>
      <c r="AI98" s="357"/>
      <c r="AJ98" s="357"/>
      <c r="AK98" s="357"/>
      <c r="AL98" s="357"/>
      <c r="AM98" s="357"/>
      <c r="AN98" s="357"/>
      <c r="AO98" s="357"/>
      <c r="AP98" s="357"/>
      <c r="AQ98" s="357"/>
      <c r="AR98" s="357"/>
      <c r="AS98" s="357"/>
      <c r="AT98" s="357"/>
      <c r="AU98" s="357"/>
      <c r="AV98" s="357"/>
      <c r="AW98" s="357"/>
    </row>
    <row r="99" spans="3:49" ht="18" customHeight="1">
      <c r="C99" s="443">
        <v>11.600000000000001</v>
      </c>
      <c r="D99" s="458">
        <f t="shared" ref="D99:D130" si="33">($B$10/12*(C99+$B$5/12)-$B$6)*$B$14</f>
        <v>14.860815993788821</v>
      </c>
      <c r="E99" s="458">
        <f t="shared" si="27"/>
        <v>15.017565993788821</v>
      </c>
      <c r="F99" s="335">
        <f t="shared" ref="F99:F130" si="34">IF($C99&lt;$B$26,$B$22/12+1.15*$C99,$B$22/12+1.15*$C99+$B$24)</f>
        <v>28.173333333333332</v>
      </c>
      <c r="G99" s="335">
        <f t="shared" ref="G99:G130" si="35">IF($C99&lt;$B$26,$B$27*$B$20/F99,2*$B$27*$B$20/F99)</f>
        <v>1.3629910080454331</v>
      </c>
      <c r="H99" s="335">
        <f t="shared" ref="H99:H130" si="36">IF(F99&lt;$B$10/12,G99*F99,G99*$B$10/12)</f>
        <v>12.437292948414578</v>
      </c>
      <c r="I99" s="335">
        <f t="shared" ref="I99:I130" si="37">IF(C99+$B$5/12&lt;$B$25,H99/($B$21/12+1.15*(C99+$B$5/12)),2*H99/($B$21/12+$B$23+1.15*(C99+$B$5/12)))</f>
        <v>0.93132722036146054</v>
      </c>
      <c r="J99" s="335">
        <f t="shared" ref="J99:J130" si="38">IF(C99+$B$5/12+$B$8/12&lt;$B$25,H99/($B$21/12+1.15*(C99+$B$5/12+$B$8/12)),2*H99/($B$21/12+$B$23+1.15*(C99+$B$5/12+$B$8/12)))</f>
        <v>0.90219289647111234</v>
      </c>
      <c r="K99" s="335">
        <f t="shared" si="28"/>
        <v>15.792143214150281</v>
      </c>
      <c r="L99" s="335">
        <f t="shared" si="29"/>
        <v>15.919758890259933</v>
      </c>
      <c r="M99" s="476">
        <f t="shared" ref="M99:M130" si="39">K99/($B$11/12)</f>
        <v>9.0672592617130814</v>
      </c>
      <c r="N99" s="476">
        <f t="shared" si="30"/>
        <v>6.1131874138598148</v>
      </c>
      <c r="O99" s="485" t="str">
        <f t="shared" si="31"/>
        <v>NO</v>
      </c>
      <c r="P99" s="488" t="str">
        <f t="shared" si="32"/>
        <v/>
      </c>
      <c r="Q99" s="357"/>
      <c r="R99" s="357"/>
      <c r="S99" s="357"/>
      <c r="T99" s="357"/>
      <c r="U99" s="357"/>
      <c r="V99" s="357"/>
      <c r="W99" s="357"/>
      <c r="X99" s="357"/>
      <c r="Y99" s="357"/>
      <c r="Z99" s="357"/>
      <c r="AA99" s="357"/>
      <c r="AB99" s="357"/>
      <c r="AC99" s="357"/>
      <c r="AD99" s="357"/>
      <c r="AE99" s="357"/>
      <c r="AF99" s="357"/>
      <c r="AG99" s="357"/>
      <c r="AH99" s="357"/>
      <c r="AI99" s="357"/>
      <c r="AJ99" s="357"/>
      <c r="AK99" s="357"/>
      <c r="AL99" s="357"/>
      <c r="AM99" s="357"/>
      <c r="AN99" s="357"/>
      <c r="AO99" s="357"/>
      <c r="AP99" s="357"/>
      <c r="AQ99" s="357"/>
      <c r="AR99" s="357"/>
      <c r="AS99" s="357"/>
      <c r="AT99" s="357"/>
      <c r="AU99" s="357"/>
      <c r="AV99" s="357"/>
      <c r="AW99" s="357"/>
    </row>
    <row r="100" spans="3:49" ht="18" customHeight="1">
      <c r="C100" s="443">
        <v>11.700000000000001</v>
      </c>
      <c r="D100" s="458">
        <f t="shared" si="33"/>
        <v>14.970315993788821</v>
      </c>
      <c r="E100" s="458">
        <f t="shared" si="27"/>
        <v>15.127065993788822</v>
      </c>
      <c r="F100" s="335">
        <f t="shared" si="34"/>
        <v>28.288333333333334</v>
      </c>
      <c r="G100" s="335">
        <f t="shared" si="35"/>
        <v>1.357450067754669</v>
      </c>
      <c r="H100" s="335">
        <f t="shared" si="36"/>
        <v>12.386731868261355</v>
      </c>
      <c r="I100" s="335">
        <f t="shared" si="37"/>
        <v>0.92356451788145622</v>
      </c>
      <c r="J100" s="335">
        <f t="shared" si="38"/>
        <v>0.89479303757362261</v>
      </c>
      <c r="K100" s="335">
        <f t="shared" si="28"/>
        <v>15.893880511670277</v>
      </c>
      <c r="L100" s="335">
        <f t="shared" si="29"/>
        <v>16.021859031362446</v>
      </c>
      <c r="M100" s="476">
        <f t="shared" si="39"/>
        <v>9.1256730210547055</v>
      </c>
      <c r="N100" s="476">
        <f t="shared" si="30"/>
        <v>6.1523938680431796</v>
      </c>
      <c r="O100" s="485" t="str">
        <f t="shared" si="31"/>
        <v>NO</v>
      </c>
      <c r="P100" s="488" t="str">
        <f t="shared" si="32"/>
        <v/>
      </c>
      <c r="Q100" s="357"/>
      <c r="R100" s="357"/>
      <c r="S100" s="357"/>
      <c r="T100" s="357"/>
      <c r="U100" s="357"/>
      <c r="V100" s="357"/>
      <c r="W100" s="357"/>
      <c r="X100" s="357"/>
      <c r="Y100" s="357"/>
      <c r="Z100" s="357"/>
      <c r="AA100" s="357"/>
      <c r="AB100" s="357"/>
      <c r="AC100" s="357"/>
      <c r="AD100" s="357"/>
      <c r="AE100" s="357"/>
      <c r="AF100" s="357"/>
      <c r="AG100" s="357"/>
      <c r="AH100" s="357"/>
      <c r="AI100" s="357"/>
      <c r="AJ100" s="357"/>
      <c r="AK100" s="357"/>
      <c r="AL100" s="357"/>
      <c r="AM100" s="357"/>
      <c r="AN100" s="357"/>
      <c r="AO100" s="357"/>
      <c r="AP100" s="357"/>
      <c r="AQ100" s="357"/>
      <c r="AR100" s="357"/>
      <c r="AS100" s="357"/>
      <c r="AT100" s="357"/>
      <c r="AU100" s="357"/>
      <c r="AV100" s="357"/>
      <c r="AW100" s="357"/>
    </row>
    <row r="101" spans="3:49" ht="18" customHeight="1">
      <c r="C101" s="443">
        <v>11.8</v>
      </c>
      <c r="D101" s="458">
        <f t="shared" si="33"/>
        <v>15.07981599378882</v>
      </c>
      <c r="E101" s="458">
        <f t="shared" si="27"/>
        <v>15.236565993788821</v>
      </c>
      <c r="F101" s="335">
        <f t="shared" si="34"/>
        <v>28.403333333333336</v>
      </c>
      <c r="G101" s="335">
        <f t="shared" si="35"/>
        <v>1.3519539960098579</v>
      </c>
      <c r="H101" s="335">
        <f t="shared" si="36"/>
        <v>12.336580213589954</v>
      </c>
      <c r="I101" s="335">
        <f t="shared" si="37"/>
        <v>0.91589848924615691</v>
      </c>
      <c r="J101" s="335">
        <f t="shared" si="38"/>
        <v>0.88748385152393894</v>
      </c>
      <c r="K101" s="335">
        <f t="shared" si="28"/>
        <v>15.995714483034977</v>
      </c>
      <c r="L101" s="335">
        <f t="shared" si="29"/>
        <v>16.124049845312761</v>
      </c>
      <c r="M101" s="476">
        <f t="shared" si="39"/>
        <v>9.1841422869100349</v>
      </c>
      <c r="N101" s="476">
        <f t="shared" si="30"/>
        <v>6.1916351406001011</v>
      </c>
      <c r="O101" s="485" t="str">
        <f t="shared" si="31"/>
        <v>NO</v>
      </c>
      <c r="P101" s="488" t="str">
        <f t="shared" si="32"/>
        <v/>
      </c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  <c r="AA101" s="357"/>
      <c r="AB101" s="357"/>
      <c r="AC101" s="357"/>
      <c r="AD101" s="357"/>
      <c r="AE101" s="357"/>
      <c r="AF101" s="357"/>
      <c r="AG101" s="357"/>
      <c r="AH101" s="357"/>
      <c r="AI101" s="357"/>
      <c r="AJ101" s="357"/>
      <c r="AK101" s="357"/>
      <c r="AL101" s="357"/>
      <c r="AM101" s="357"/>
      <c r="AN101" s="357"/>
      <c r="AO101" s="357"/>
      <c r="AP101" s="357"/>
      <c r="AQ101" s="357"/>
      <c r="AR101" s="357"/>
      <c r="AS101" s="357"/>
      <c r="AT101" s="357"/>
      <c r="AU101" s="357"/>
      <c r="AV101" s="357"/>
      <c r="AW101" s="357"/>
    </row>
    <row r="102" spans="3:49" ht="18" customHeight="1">
      <c r="C102" s="443">
        <v>11.9</v>
      </c>
      <c r="D102" s="458">
        <f t="shared" si="33"/>
        <v>15.189315993788819</v>
      </c>
      <c r="E102" s="458">
        <f t="shared" si="27"/>
        <v>15.34606599378882</v>
      </c>
      <c r="F102" s="335">
        <f t="shared" si="34"/>
        <v>28.518333333333331</v>
      </c>
      <c r="G102" s="335">
        <f t="shared" si="35"/>
        <v>1.3465022500146107</v>
      </c>
      <c r="H102" s="335">
        <f t="shared" si="36"/>
        <v>12.286833031383322</v>
      </c>
      <c r="I102" s="335">
        <f t="shared" si="37"/>
        <v>0.90832753547166822</v>
      </c>
      <c r="J102" s="335">
        <f t="shared" si="38"/>
        <v>0.88026386290302761</v>
      </c>
      <c r="K102" s="335">
        <f t="shared" si="28"/>
        <v>16.097643529260488</v>
      </c>
      <c r="L102" s="335">
        <f t="shared" si="29"/>
        <v>16.226329856691848</v>
      </c>
      <c r="M102" s="476">
        <f t="shared" si="39"/>
        <v>9.2426661412021947</v>
      </c>
      <c r="N102" s="476">
        <f t="shared" si="30"/>
        <v>6.2309106649696702</v>
      </c>
      <c r="O102" s="485" t="str">
        <f t="shared" si="31"/>
        <v>NO</v>
      </c>
      <c r="P102" s="488" t="str">
        <f t="shared" si="32"/>
        <v/>
      </c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7"/>
      <c r="AH102" s="357"/>
      <c r="AI102" s="357"/>
      <c r="AJ102" s="357"/>
      <c r="AK102" s="357"/>
      <c r="AL102" s="357"/>
      <c r="AM102" s="357"/>
      <c r="AN102" s="357"/>
      <c r="AO102" s="357"/>
      <c r="AP102" s="357"/>
      <c r="AQ102" s="357"/>
      <c r="AR102" s="357"/>
      <c r="AS102" s="357"/>
      <c r="AT102" s="357"/>
      <c r="AU102" s="357"/>
      <c r="AV102" s="357"/>
      <c r="AW102" s="357"/>
    </row>
    <row r="103" spans="3:49" ht="18" customHeight="1">
      <c r="C103" s="443">
        <v>12</v>
      </c>
      <c r="D103" s="458">
        <f t="shared" si="33"/>
        <v>15.298815993788818</v>
      </c>
      <c r="E103" s="458">
        <f t="shared" si="27"/>
        <v>15.455565993788818</v>
      </c>
      <c r="F103" s="335">
        <f t="shared" si="34"/>
        <v>28.633333333333333</v>
      </c>
      <c r="G103" s="335">
        <f t="shared" si="35"/>
        <v>1.3410942956926659</v>
      </c>
      <c r="H103" s="335">
        <f t="shared" si="36"/>
        <v>12.237485448195576</v>
      </c>
      <c r="I103" s="335">
        <f t="shared" si="37"/>
        <v>0.90085009050439024</v>
      </c>
      <c r="J103" s="335">
        <f t="shared" si="38"/>
        <v>0.87313162618117823</v>
      </c>
      <c r="K103" s="335">
        <f t="shared" si="28"/>
        <v>16.199666084293209</v>
      </c>
      <c r="L103" s="335">
        <f t="shared" si="29"/>
        <v>16.328697619969997</v>
      </c>
      <c r="M103" s="476">
        <f t="shared" si="39"/>
        <v>9.3012436847616531</v>
      </c>
      <c r="N103" s="476">
        <f t="shared" si="30"/>
        <v>6.270219886068479</v>
      </c>
      <c r="O103" s="485" t="str">
        <f t="shared" si="31"/>
        <v>NO</v>
      </c>
      <c r="P103" s="488" t="str">
        <f t="shared" si="32"/>
        <v/>
      </c>
      <c r="Q103" s="357"/>
      <c r="R103" s="357"/>
      <c r="S103" s="357"/>
      <c r="T103" s="357"/>
      <c r="U103" s="357"/>
      <c r="V103" s="357"/>
      <c r="W103" s="357"/>
      <c r="X103" s="357"/>
      <c r="Y103" s="357"/>
      <c r="Z103" s="357"/>
      <c r="AA103" s="357"/>
      <c r="AB103" s="357"/>
      <c r="AC103" s="357"/>
      <c r="AD103" s="357"/>
      <c r="AE103" s="357"/>
      <c r="AF103" s="357"/>
      <c r="AG103" s="357"/>
      <c r="AH103" s="357"/>
      <c r="AI103" s="357"/>
      <c r="AJ103" s="357"/>
      <c r="AK103" s="357"/>
      <c r="AL103" s="357"/>
      <c r="AM103" s="357"/>
      <c r="AN103" s="357"/>
      <c r="AO103" s="357"/>
      <c r="AP103" s="357"/>
      <c r="AQ103" s="357"/>
      <c r="AR103" s="357"/>
      <c r="AS103" s="357"/>
      <c r="AT103" s="357"/>
      <c r="AU103" s="357"/>
      <c r="AV103" s="357"/>
      <c r="AW103" s="357"/>
    </row>
    <row r="104" spans="3:49" ht="18" customHeight="1">
      <c r="C104" s="443">
        <v>12.100000000000001</v>
      </c>
      <c r="D104" s="458">
        <f t="shared" si="33"/>
        <v>15.408315993788822</v>
      </c>
      <c r="E104" s="458">
        <f t="shared" si="27"/>
        <v>15.565065993788822</v>
      </c>
      <c r="F104" s="335">
        <f t="shared" si="34"/>
        <v>28.748333333333335</v>
      </c>
      <c r="G104" s="335">
        <f t="shared" si="35"/>
        <v>1.335729607513479</v>
      </c>
      <c r="H104" s="335">
        <f t="shared" si="36"/>
        <v>12.188532668560496</v>
      </c>
      <c r="I104" s="335">
        <f t="shared" si="37"/>
        <v>0.89346462041035379</v>
      </c>
      <c r="J104" s="335">
        <f t="shared" si="38"/>
        <v>0.86608572499430625</v>
      </c>
      <c r="K104" s="335">
        <f t="shared" si="28"/>
        <v>16.301780614199174</v>
      </c>
      <c r="L104" s="335">
        <f t="shared" si="29"/>
        <v>16.431151718783127</v>
      </c>
      <c r="M104" s="476">
        <f t="shared" si="39"/>
        <v>9.35987403686077</v>
      </c>
      <c r="N104" s="476">
        <f t="shared" si="30"/>
        <v>6.3095622600127212</v>
      </c>
      <c r="O104" s="485" t="str">
        <f t="shared" si="31"/>
        <v>NO</v>
      </c>
      <c r="P104" s="488" t="str">
        <f t="shared" si="32"/>
        <v/>
      </c>
      <c r="Q104" s="357"/>
      <c r="R104" s="357"/>
      <c r="S104" s="357"/>
      <c r="T104" s="357"/>
      <c r="U104" s="357"/>
      <c r="V104" s="357"/>
      <c r="W104" s="357"/>
      <c r="X104" s="357"/>
      <c r="Y104" s="357"/>
      <c r="Z104" s="357"/>
      <c r="AA104" s="357"/>
      <c r="AB104" s="357"/>
      <c r="AC104" s="357"/>
      <c r="AD104" s="357"/>
      <c r="AE104" s="357"/>
      <c r="AF104" s="357"/>
      <c r="AG104" s="357"/>
      <c r="AH104" s="357"/>
      <c r="AI104" s="357"/>
      <c r="AJ104" s="357"/>
      <c r="AK104" s="357"/>
      <c r="AL104" s="357"/>
      <c r="AM104" s="357"/>
      <c r="AN104" s="357"/>
      <c r="AO104" s="357"/>
      <c r="AP104" s="357"/>
      <c r="AQ104" s="357"/>
      <c r="AR104" s="357"/>
      <c r="AS104" s="357"/>
      <c r="AT104" s="357"/>
      <c r="AU104" s="357"/>
      <c r="AV104" s="357"/>
      <c r="AW104" s="357"/>
    </row>
    <row r="105" spans="3:49" ht="18" customHeight="1">
      <c r="C105" s="443">
        <v>12.200000000000001</v>
      </c>
      <c r="D105" s="458">
        <f t="shared" si="33"/>
        <v>15.517815993788821</v>
      </c>
      <c r="E105" s="458">
        <f t="shared" si="27"/>
        <v>15.674565993788821</v>
      </c>
      <c r="F105" s="335">
        <f t="shared" si="34"/>
        <v>28.863333333333333</v>
      </c>
      <c r="G105" s="335">
        <f t="shared" si="35"/>
        <v>1.330407668321977</v>
      </c>
      <c r="H105" s="335">
        <f t="shared" si="36"/>
        <v>12.13996997343804</v>
      </c>
      <c r="I105" s="335">
        <f t="shared" si="37"/>
        <v>0.88616962258774867</v>
      </c>
      <c r="J105" s="335">
        <f t="shared" si="38"/>
        <v>0.85912477144061494</v>
      </c>
      <c r="K105" s="335">
        <f t="shared" si="28"/>
        <v>16.40398561637657</v>
      </c>
      <c r="L105" s="335">
        <f t="shared" si="29"/>
        <v>16.533690765229437</v>
      </c>
      <c r="M105" s="476">
        <f t="shared" si="39"/>
        <v>9.4185563347616679</v>
      </c>
      <c r="N105" s="476">
        <f t="shared" si="30"/>
        <v>6.3489372538481046</v>
      </c>
      <c r="O105" s="485" t="str">
        <f t="shared" si="31"/>
        <v>NO</v>
      </c>
      <c r="P105" s="488" t="str">
        <f t="shared" si="32"/>
        <v/>
      </c>
      <c r="Q105" s="357"/>
      <c r="R105" s="357"/>
      <c r="S105" s="357"/>
      <c r="T105" s="357"/>
      <c r="U105" s="357"/>
      <c r="V105" s="357"/>
      <c r="W105" s="357"/>
      <c r="X105" s="357"/>
      <c r="Y105" s="357"/>
      <c r="Z105" s="357"/>
      <c r="AA105" s="357"/>
      <c r="AB105" s="357"/>
      <c r="AC105" s="357"/>
      <c r="AD105" s="357"/>
      <c r="AE105" s="357"/>
      <c r="AF105" s="357"/>
      <c r="AG105" s="357"/>
      <c r="AH105" s="357"/>
      <c r="AI105" s="357"/>
      <c r="AJ105" s="357"/>
      <c r="AK105" s="357"/>
      <c r="AL105" s="357"/>
      <c r="AM105" s="357"/>
      <c r="AN105" s="357"/>
      <c r="AO105" s="357"/>
      <c r="AP105" s="357"/>
      <c r="AQ105" s="357"/>
      <c r="AR105" s="357"/>
      <c r="AS105" s="357"/>
      <c r="AT105" s="357"/>
      <c r="AU105" s="357"/>
      <c r="AV105" s="357"/>
      <c r="AW105" s="357"/>
    </row>
    <row r="106" spans="3:49" ht="18" customHeight="1">
      <c r="C106" s="443">
        <v>12.3</v>
      </c>
      <c r="D106" s="458">
        <f t="shared" si="33"/>
        <v>15.62731599378882</v>
      </c>
      <c r="E106" s="458">
        <f t="shared" si="27"/>
        <v>15.78406599378882</v>
      </c>
      <c r="F106" s="335">
        <f t="shared" si="34"/>
        <v>28.978333333333332</v>
      </c>
      <c r="G106" s="335">
        <f t="shared" si="35"/>
        <v>1.3251279691723701</v>
      </c>
      <c r="H106" s="335">
        <f t="shared" si="36"/>
        <v>12.091792718697876</v>
      </c>
      <c r="I106" s="335">
        <f t="shared" si="37"/>
        <v>0.87896362500189007</v>
      </c>
      <c r="J106" s="335">
        <f t="shared" si="38"/>
        <v>0.85224740539696942</v>
      </c>
      <c r="K106" s="335">
        <f t="shared" si="28"/>
        <v>16.50627961879071</v>
      </c>
      <c r="L106" s="335">
        <f t="shared" si="29"/>
        <v>16.636313399185788</v>
      </c>
      <c r="M106" s="476">
        <f t="shared" si="39"/>
        <v>9.4772897332769634</v>
      </c>
      <c r="N106" s="476">
        <f t="shared" si="30"/>
        <v>6.3883443452873427</v>
      </c>
      <c r="O106" s="485" t="str">
        <f t="shared" si="31"/>
        <v>NO</v>
      </c>
      <c r="P106" s="488" t="str">
        <f t="shared" si="32"/>
        <v/>
      </c>
      <c r="Q106" s="357"/>
      <c r="R106" s="357"/>
      <c r="S106" s="357"/>
      <c r="T106" s="357"/>
      <c r="U106" s="357"/>
      <c r="V106" s="357"/>
      <c r="W106" s="357"/>
      <c r="X106" s="357"/>
      <c r="Y106" s="357"/>
      <c r="Z106" s="357"/>
      <c r="AA106" s="357"/>
      <c r="AB106" s="357"/>
      <c r="AC106" s="357"/>
      <c r="AD106" s="357"/>
      <c r="AE106" s="357"/>
      <c r="AF106" s="357"/>
      <c r="AG106" s="357"/>
      <c r="AH106" s="357"/>
      <c r="AI106" s="357"/>
      <c r="AJ106" s="357"/>
      <c r="AK106" s="357"/>
      <c r="AL106" s="357"/>
      <c r="AM106" s="357"/>
      <c r="AN106" s="357"/>
      <c r="AO106" s="357"/>
      <c r="AP106" s="357"/>
      <c r="AQ106" s="357"/>
      <c r="AR106" s="357"/>
      <c r="AS106" s="357"/>
      <c r="AT106" s="357"/>
      <c r="AU106" s="357"/>
      <c r="AV106" s="357"/>
      <c r="AW106" s="357"/>
    </row>
    <row r="107" spans="3:49" ht="18" customHeight="1">
      <c r="C107" s="443">
        <v>12.4</v>
      </c>
      <c r="D107" s="458">
        <f t="shared" si="33"/>
        <v>15.736815993788818</v>
      </c>
      <c r="E107" s="458">
        <f t="shared" si="27"/>
        <v>15.893565993788819</v>
      </c>
      <c r="F107" s="335">
        <f t="shared" si="34"/>
        <v>29.093333333333334</v>
      </c>
      <c r="G107" s="335">
        <f t="shared" si="35"/>
        <v>1.3198900091659027</v>
      </c>
      <c r="H107" s="335">
        <f t="shared" si="36"/>
        <v>12.043996333638864</v>
      </c>
      <c r="I107" s="335">
        <f t="shared" si="37"/>
        <v>0.87184518544189393</v>
      </c>
      <c r="J107" s="335">
        <f t="shared" si="38"/>
        <v>0.84545229385434917</v>
      </c>
      <c r="K107" s="335">
        <f t="shared" si="28"/>
        <v>16.608661179230712</v>
      </c>
      <c r="L107" s="335">
        <f t="shared" si="29"/>
        <v>16.739018287643169</v>
      </c>
      <c r="M107" s="476">
        <f t="shared" si="39"/>
        <v>9.5360734043429929</v>
      </c>
      <c r="N107" s="476">
        <f t="shared" si="30"/>
        <v>6.4277830224549772</v>
      </c>
      <c r="O107" s="485" t="str">
        <f t="shared" si="31"/>
        <v>NO</v>
      </c>
      <c r="P107" s="488" t="str">
        <f t="shared" si="32"/>
        <v/>
      </c>
      <c r="Q107" s="357"/>
      <c r="R107" s="357"/>
      <c r="S107" s="357"/>
      <c r="T107" s="357"/>
      <c r="U107" s="357"/>
      <c r="V107" s="357"/>
      <c r="W107" s="357"/>
      <c r="X107" s="357"/>
      <c r="Y107" s="357"/>
      <c r="Z107" s="357"/>
      <c r="AA107" s="357"/>
      <c r="AB107" s="357"/>
      <c r="AC107" s="357"/>
      <c r="AD107" s="357"/>
      <c r="AE107" s="357"/>
      <c r="AF107" s="357"/>
      <c r="AG107" s="357"/>
      <c r="AH107" s="357"/>
      <c r="AI107" s="357"/>
      <c r="AJ107" s="357"/>
      <c r="AK107" s="357"/>
      <c r="AL107" s="357"/>
      <c r="AM107" s="357"/>
      <c r="AN107" s="357"/>
      <c r="AO107" s="357"/>
      <c r="AP107" s="357"/>
      <c r="AQ107" s="357"/>
      <c r="AR107" s="357"/>
      <c r="AS107" s="357"/>
      <c r="AT107" s="357"/>
      <c r="AU107" s="357"/>
      <c r="AV107" s="357"/>
      <c r="AW107" s="357"/>
    </row>
    <row r="108" spans="3:49" ht="18" customHeight="1">
      <c r="C108" s="443">
        <v>12.5</v>
      </c>
      <c r="D108" s="458">
        <f t="shared" si="33"/>
        <v>15.846315993788819</v>
      </c>
      <c r="E108" s="458">
        <f t="shared" si="27"/>
        <v>16.00306599378882</v>
      </c>
      <c r="F108" s="335">
        <f t="shared" si="34"/>
        <v>29.208333333333332</v>
      </c>
      <c r="G108" s="335">
        <f t="shared" si="35"/>
        <v>1.3146932952924393</v>
      </c>
      <c r="H108" s="335">
        <f t="shared" si="36"/>
        <v>11.996576319543507</v>
      </c>
      <c r="I108" s="335">
        <f t="shared" si="37"/>
        <v>0.86481289079836055</v>
      </c>
      <c r="J108" s="335">
        <f t="shared" si="38"/>
        <v>0.83873813027177679</v>
      </c>
      <c r="K108" s="335">
        <f t="shared" si="28"/>
        <v>16.711128884587179</v>
      </c>
      <c r="L108" s="335">
        <f t="shared" si="29"/>
        <v>16.841804124060598</v>
      </c>
      <c r="M108" s="476">
        <f t="shared" si="39"/>
        <v>9.5949065366050803</v>
      </c>
      <c r="N108" s="476">
        <f t="shared" si="30"/>
        <v>6.4672527836392701</v>
      </c>
      <c r="O108" s="485" t="str">
        <f t="shared" si="31"/>
        <v>NO</v>
      </c>
      <c r="P108" s="488" t="str">
        <f t="shared" si="32"/>
        <v/>
      </c>
      <c r="Q108" s="357"/>
      <c r="R108" s="357"/>
      <c r="S108" s="357"/>
      <c r="T108" s="357"/>
      <c r="U108" s="357"/>
      <c r="V108" s="357"/>
      <c r="W108" s="357"/>
      <c r="X108" s="357"/>
      <c r="Y108" s="357"/>
      <c r="Z108" s="357"/>
      <c r="AA108" s="357"/>
      <c r="AB108" s="357"/>
      <c r="AC108" s="357"/>
      <c r="AD108" s="357"/>
      <c r="AE108" s="357"/>
      <c r="AF108" s="357"/>
      <c r="AG108" s="357"/>
      <c r="AH108" s="357"/>
      <c r="AI108" s="357"/>
      <c r="AJ108" s="357"/>
      <c r="AK108" s="357"/>
      <c r="AL108" s="357"/>
      <c r="AM108" s="357"/>
      <c r="AN108" s="357"/>
      <c r="AO108" s="357"/>
      <c r="AP108" s="357"/>
      <c r="AQ108" s="357"/>
      <c r="AR108" s="357"/>
      <c r="AS108" s="357"/>
      <c r="AT108" s="357"/>
      <c r="AU108" s="357"/>
      <c r="AV108" s="357"/>
      <c r="AW108" s="357"/>
    </row>
    <row r="109" spans="3:49" ht="18" customHeight="1">
      <c r="C109" s="443">
        <v>12.600000000000001</v>
      </c>
      <c r="D109" s="458">
        <f t="shared" si="33"/>
        <v>15.955815993788821</v>
      </c>
      <c r="E109" s="458">
        <f t="shared" si="27"/>
        <v>16.11256599378882</v>
      </c>
      <c r="F109" s="335">
        <f t="shared" si="34"/>
        <v>29.323333333333334</v>
      </c>
      <c r="G109" s="335">
        <f t="shared" si="35"/>
        <v>1.3095373422757757</v>
      </c>
      <c r="H109" s="335">
        <f t="shared" si="36"/>
        <v>11.949528248266454</v>
      </c>
      <c r="I109" s="335">
        <f t="shared" si="37"/>
        <v>0.85786535636139116</v>
      </c>
      <c r="J109" s="335">
        <f t="shared" si="38"/>
        <v>0.83210363394813613</v>
      </c>
      <c r="K109" s="335">
        <f t="shared" si="28"/>
        <v>16.813681350150212</v>
      </c>
      <c r="L109" s="335">
        <f t="shared" si="29"/>
        <v>16.944669627736957</v>
      </c>
      <c r="M109" s="476">
        <f t="shared" si="39"/>
        <v>9.6537883350144771</v>
      </c>
      <c r="N109" s="476">
        <f t="shared" si="30"/>
        <v>6.5067531370509917</v>
      </c>
      <c r="O109" s="485" t="str">
        <f t="shared" si="31"/>
        <v>NO</v>
      </c>
      <c r="P109" s="488" t="str">
        <f t="shared" si="32"/>
        <v/>
      </c>
      <c r="Q109" s="357"/>
      <c r="R109" s="357"/>
      <c r="S109" s="357"/>
      <c r="T109" s="357"/>
      <c r="U109" s="357"/>
      <c r="V109" s="357"/>
      <c r="W109" s="357"/>
      <c r="X109" s="357"/>
      <c r="Y109" s="357"/>
      <c r="Z109" s="357"/>
      <c r="AA109" s="357"/>
      <c r="AB109" s="357"/>
      <c r="AC109" s="357"/>
      <c r="AD109" s="357"/>
      <c r="AE109" s="357"/>
      <c r="AF109" s="357"/>
      <c r="AG109" s="357"/>
      <c r="AH109" s="357"/>
      <c r="AI109" s="357"/>
      <c r="AJ109" s="357"/>
      <c r="AK109" s="357"/>
      <c r="AL109" s="357"/>
      <c r="AM109" s="357"/>
      <c r="AN109" s="357"/>
      <c r="AO109" s="357"/>
      <c r="AP109" s="357"/>
      <c r="AQ109" s="357"/>
      <c r="AR109" s="357"/>
      <c r="AS109" s="357"/>
      <c r="AT109" s="357"/>
      <c r="AU109" s="357"/>
      <c r="AV109" s="357"/>
      <c r="AW109" s="357"/>
    </row>
    <row r="110" spans="3:49" ht="18" customHeight="1">
      <c r="C110" s="443">
        <v>12.700000000000001</v>
      </c>
      <c r="D110" s="458">
        <f t="shared" si="33"/>
        <v>16.065315993788822</v>
      </c>
      <c r="E110" s="458">
        <f t="shared" si="27"/>
        <v>16.222065993788821</v>
      </c>
      <c r="F110" s="335">
        <f t="shared" si="34"/>
        <v>29.438333333333333</v>
      </c>
      <c r="G110" s="335">
        <f t="shared" si="35"/>
        <v>1.3044216724225783</v>
      </c>
      <c r="H110" s="335">
        <f t="shared" si="36"/>
        <v>11.902847760856027</v>
      </c>
      <c r="I110" s="335">
        <f t="shared" si="37"/>
        <v>0.85100122513828325</v>
      </c>
      <c r="J110" s="335">
        <f t="shared" si="38"/>
        <v>0.8255475494113157</v>
      </c>
      <c r="K110" s="335">
        <f t="shared" si="28"/>
        <v>16.916317218927105</v>
      </c>
      <c r="L110" s="335">
        <f t="shared" si="29"/>
        <v>17.047613543200136</v>
      </c>
      <c r="M110" s="476">
        <f t="shared" si="39"/>
        <v>9.7127180204366166</v>
      </c>
      <c r="N110" s="476">
        <f t="shared" si="30"/>
        <v>6.5462836005888523</v>
      </c>
      <c r="O110" s="485" t="str">
        <f t="shared" si="31"/>
        <v>NO</v>
      </c>
      <c r="P110" s="488" t="str">
        <f t="shared" si="32"/>
        <v/>
      </c>
      <c r="Q110" s="357"/>
      <c r="R110" s="357"/>
      <c r="S110" s="357"/>
      <c r="T110" s="357"/>
      <c r="U110" s="357"/>
      <c r="V110" s="357"/>
      <c r="W110" s="357"/>
      <c r="X110" s="357"/>
      <c r="Y110" s="357"/>
      <c r="Z110" s="357"/>
      <c r="AA110" s="357"/>
      <c r="AB110" s="357"/>
      <c r="AC110" s="357"/>
      <c r="AD110" s="357"/>
      <c r="AE110" s="357"/>
      <c r="AF110" s="357"/>
      <c r="AG110" s="357"/>
      <c r="AH110" s="357"/>
      <c r="AI110" s="357"/>
      <c r="AJ110" s="357"/>
      <c r="AK110" s="357"/>
      <c r="AL110" s="357"/>
      <c r="AM110" s="357"/>
      <c r="AN110" s="357"/>
      <c r="AO110" s="357"/>
      <c r="AP110" s="357"/>
      <c r="AQ110" s="357"/>
      <c r="AR110" s="357"/>
      <c r="AS110" s="357"/>
      <c r="AT110" s="357"/>
      <c r="AU110" s="357"/>
      <c r="AV110" s="357"/>
      <c r="AW110" s="357"/>
    </row>
    <row r="111" spans="3:49" ht="18" customHeight="1">
      <c r="C111" s="443">
        <v>12.8</v>
      </c>
      <c r="D111" s="458">
        <f t="shared" si="33"/>
        <v>16.174815993788819</v>
      </c>
      <c r="E111" s="458">
        <f t="shared" si="27"/>
        <v>16.331565993788818</v>
      </c>
      <c r="F111" s="335">
        <f t="shared" si="34"/>
        <v>29.553333333333335</v>
      </c>
      <c r="G111" s="335">
        <f t="shared" si="35"/>
        <v>1.2993458154748476</v>
      </c>
      <c r="H111" s="335">
        <f t="shared" si="36"/>
        <v>11.856530566207985</v>
      </c>
      <c r="I111" s="335">
        <f t="shared" si="37"/>
        <v>0.84421916719027978</v>
      </c>
      <c r="J111" s="335">
        <f t="shared" si="38"/>
        <v>0.81906864582413441</v>
      </c>
      <c r="K111" s="335">
        <f t="shared" si="28"/>
        <v>17.019035160979097</v>
      </c>
      <c r="L111" s="335">
        <f t="shared" si="29"/>
        <v>17.150634639612953</v>
      </c>
      <c r="M111" s="476">
        <f t="shared" si="39"/>
        <v>9.771694829270297</v>
      </c>
      <c r="N111" s="476">
        <f t="shared" si="30"/>
        <v>6.585843701611374</v>
      </c>
      <c r="O111" s="485" t="str">
        <f t="shared" si="31"/>
        <v>NO</v>
      </c>
      <c r="P111" s="488" t="str">
        <f t="shared" si="32"/>
        <v/>
      </c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  <c r="AO111" s="357"/>
      <c r="AP111" s="357"/>
      <c r="AQ111" s="357"/>
      <c r="AR111" s="357"/>
      <c r="AS111" s="357"/>
      <c r="AT111" s="357"/>
      <c r="AU111" s="357"/>
      <c r="AV111" s="357"/>
      <c r="AW111" s="357"/>
    </row>
    <row r="112" spans="3:49" ht="18" customHeight="1">
      <c r="C112" s="443">
        <v>12.9</v>
      </c>
      <c r="D112" s="458">
        <f t="shared" si="33"/>
        <v>16.28431599378882</v>
      </c>
      <c r="E112" s="458">
        <f t="shared" si="27"/>
        <v>16.441065993788818</v>
      </c>
      <c r="F112" s="335">
        <f t="shared" si="34"/>
        <v>29.668333333333333</v>
      </c>
      <c r="G112" s="335">
        <f t="shared" si="35"/>
        <v>1.2943093084658166</v>
      </c>
      <c r="H112" s="335">
        <f t="shared" si="36"/>
        <v>11.810572439750578</v>
      </c>
      <c r="I112" s="335">
        <f t="shared" si="37"/>
        <v>0.83751787898776431</v>
      </c>
      <c r="J112" s="335">
        <f t="shared" si="38"/>
        <v>0.81266571640652496</v>
      </c>
      <c r="K112" s="335">
        <f t="shared" si="28"/>
        <v>17.121833872776584</v>
      </c>
      <c r="L112" s="335">
        <f t="shared" si="29"/>
        <v>17.253731710195343</v>
      </c>
      <c r="M112" s="476">
        <f t="shared" si="39"/>
        <v>9.8307180130774654</v>
      </c>
      <c r="N112" s="476">
        <f t="shared" si="30"/>
        <v>6.625432976715012</v>
      </c>
      <c r="O112" s="485" t="str">
        <f t="shared" si="31"/>
        <v>NO</v>
      </c>
      <c r="P112" s="488" t="str">
        <f t="shared" si="32"/>
        <v/>
      </c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357"/>
      <c r="AG112" s="357"/>
      <c r="AH112" s="357"/>
      <c r="AI112" s="357"/>
      <c r="AJ112" s="357"/>
      <c r="AK112" s="357"/>
      <c r="AL112" s="357"/>
      <c r="AM112" s="357"/>
      <c r="AN112" s="357"/>
      <c r="AO112" s="357"/>
      <c r="AP112" s="357"/>
      <c r="AQ112" s="357"/>
      <c r="AR112" s="357"/>
      <c r="AS112" s="357"/>
      <c r="AT112" s="357"/>
      <c r="AU112" s="357"/>
      <c r="AV112" s="357"/>
      <c r="AW112" s="357"/>
    </row>
    <row r="113" spans="3:49" ht="18" customHeight="1">
      <c r="C113" s="443">
        <v>13</v>
      </c>
      <c r="D113" s="458">
        <f t="shared" si="33"/>
        <v>16.39381599378882</v>
      </c>
      <c r="E113" s="458">
        <f t="shared" si="27"/>
        <v>16.550565993788819</v>
      </c>
      <c r="F113" s="335">
        <f t="shared" si="34"/>
        <v>29.783333333333331</v>
      </c>
      <c r="G113" s="335">
        <f t="shared" si="35"/>
        <v>1.289311695579183</v>
      </c>
      <c r="H113" s="335">
        <f t="shared" si="36"/>
        <v>11.764969222160046</v>
      </c>
      <c r="I113" s="335">
        <f t="shared" si="37"/>
        <v>0.83089608278331828</v>
      </c>
      <c r="J113" s="335">
        <f t="shared" si="38"/>
        <v>0.80633757787346649</v>
      </c>
      <c r="K113" s="335">
        <f t="shared" si="28"/>
        <v>17.224712076572139</v>
      </c>
      <c r="L113" s="335">
        <f t="shared" si="29"/>
        <v>17.356903571662286</v>
      </c>
      <c r="M113" s="476">
        <f t="shared" si="39"/>
        <v>9.8897868382232392</v>
      </c>
      <c r="N113" s="476">
        <f t="shared" si="30"/>
        <v>6.6650509715183182</v>
      </c>
      <c r="O113" s="485" t="str">
        <f t="shared" si="31"/>
        <v>NO</v>
      </c>
      <c r="P113" s="488" t="str">
        <f t="shared" si="32"/>
        <v/>
      </c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7"/>
      <c r="AB113" s="357"/>
      <c r="AC113" s="357"/>
      <c r="AD113" s="357"/>
      <c r="AE113" s="357"/>
      <c r="AF113" s="357"/>
      <c r="AG113" s="357"/>
      <c r="AH113" s="357"/>
      <c r="AI113" s="357"/>
      <c r="AJ113" s="357"/>
      <c r="AK113" s="357"/>
      <c r="AL113" s="357"/>
      <c r="AM113" s="357"/>
      <c r="AN113" s="357"/>
      <c r="AO113" s="357"/>
      <c r="AP113" s="357"/>
      <c r="AQ113" s="357"/>
      <c r="AR113" s="357"/>
      <c r="AS113" s="357"/>
      <c r="AT113" s="357"/>
      <c r="AU113" s="357"/>
      <c r="AV113" s="357"/>
      <c r="AW113" s="357"/>
    </row>
    <row r="114" spans="3:49" ht="18" customHeight="1">
      <c r="C114" s="443">
        <v>13.100000000000001</v>
      </c>
      <c r="D114" s="458">
        <f t="shared" si="33"/>
        <v>16.503315993788821</v>
      </c>
      <c r="E114" s="458">
        <f t="shared" si="27"/>
        <v>16.66006599378882</v>
      </c>
      <c r="F114" s="335">
        <f t="shared" si="34"/>
        <v>29.898333333333333</v>
      </c>
      <c r="G114" s="335">
        <f t="shared" si="35"/>
        <v>1.2843525280115948</v>
      </c>
      <c r="H114" s="335">
        <f t="shared" si="36"/>
        <v>11.719716818105802</v>
      </c>
      <c r="I114" s="335">
        <f t="shared" si="37"/>
        <v>0.82435252600207864</v>
      </c>
      <c r="J114" s="335">
        <f t="shared" si="38"/>
        <v>0.80008306988818034</v>
      </c>
      <c r="K114" s="335">
        <f t="shared" si="28"/>
        <v>17.327668519790901</v>
      </c>
      <c r="L114" s="335">
        <f t="shared" si="29"/>
        <v>17.460149063677001</v>
      </c>
      <c r="M114" s="476">
        <f t="shared" si="39"/>
        <v>9.9489005855258767</v>
      </c>
      <c r="N114" s="476">
        <f t="shared" si="30"/>
        <v>6.7046972404519689</v>
      </c>
      <c r="O114" s="485" t="str">
        <f t="shared" si="31"/>
        <v>NO</v>
      </c>
      <c r="P114" s="488" t="str">
        <f t="shared" si="32"/>
        <v/>
      </c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7"/>
      <c r="AH114" s="357"/>
      <c r="AI114" s="357"/>
      <c r="AJ114" s="357"/>
      <c r="AK114" s="357"/>
      <c r="AL114" s="357"/>
      <c r="AM114" s="357"/>
      <c r="AN114" s="357"/>
      <c r="AO114" s="357"/>
      <c r="AP114" s="357"/>
      <c r="AQ114" s="357"/>
      <c r="AR114" s="357"/>
      <c r="AS114" s="357"/>
      <c r="AT114" s="357"/>
      <c r="AU114" s="357"/>
      <c r="AV114" s="357"/>
      <c r="AW114" s="357"/>
    </row>
    <row r="115" spans="3:49" ht="18" customHeight="1">
      <c r="C115" s="443">
        <v>13.200000000000001</v>
      </c>
      <c r="D115" s="458">
        <f t="shared" si="33"/>
        <v>16.612815993788821</v>
      </c>
      <c r="E115" s="458">
        <f t="shared" si="27"/>
        <v>16.76956599378882</v>
      </c>
      <c r="F115" s="335">
        <f t="shared" si="34"/>
        <v>30.013333333333332</v>
      </c>
      <c r="G115" s="335">
        <f t="shared" si="35"/>
        <v>1.2794313638382941</v>
      </c>
      <c r="H115" s="335">
        <f t="shared" si="36"/>
        <v>11.674811195024434</v>
      </c>
      <c r="I115" s="335">
        <f t="shared" si="37"/>
        <v>0.81788598064885032</v>
      </c>
      <c r="J115" s="335">
        <f t="shared" si="38"/>
        <v>0.79390105453011572</v>
      </c>
      <c r="K115" s="335">
        <f t="shared" si="28"/>
        <v>17.430701974437671</v>
      </c>
      <c r="L115" s="335">
        <f t="shared" si="29"/>
        <v>17.563467048318937</v>
      </c>
      <c r="M115" s="476">
        <f t="shared" si="39"/>
        <v>10.008058549916367</v>
      </c>
      <c r="N115" s="476">
        <f t="shared" si="30"/>
        <v>6.7443713465544723</v>
      </c>
      <c r="O115" s="485" t="str">
        <f t="shared" si="31"/>
        <v>NO</v>
      </c>
      <c r="P115" s="488" t="str">
        <f t="shared" si="32"/>
        <v/>
      </c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7"/>
      <c r="AH115" s="357"/>
      <c r="AI115" s="357"/>
      <c r="AJ115" s="357"/>
      <c r="AK115" s="357"/>
      <c r="AL115" s="357"/>
      <c r="AM115" s="357"/>
      <c r="AN115" s="357"/>
      <c r="AO115" s="357"/>
      <c r="AP115" s="357"/>
      <c r="AQ115" s="357"/>
      <c r="AR115" s="357"/>
      <c r="AS115" s="357"/>
      <c r="AT115" s="357"/>
      <c r="AU115" s="357"/>
      <c r="AV115" s="357"/>
      <c r="AW115" s="357"/>
    </row>
    <row r="116" spans="3:49" ht="18" customHeight="1">
      <c r="C116" s="443">
        <v>13.3</v>
      </c>
      <c r="D116" s="458">
        <f t="shared" si="33"/>
        <v>16.722315993788818</v>
      </c>
      <c r="E116" s="458">
        <f t="shared" si="27"/>
        <v>16.879065993788817</v>
      </c>
      <c r="F116" s="335">
        <f t="shared" si="34"/>
        <v>30.128333333333334</v>
      </c>
      <c r="G116" s="335">
        <f t="shared" si="35"/>
        <v>1.2745477678818387</v>
      </c>
      <c r="H116" s="335">
        <f t="shared" si="36"/>
        <v>11.630248381921779</v>
      </c>
      <c r="I116" s="335">
        <f t="shared" si="37"/>
        <v>0.81149524273144857</v>
      </c>
      <c r="J116" s="335">
        <f t="shared" si="38"/>
        <v>0.78779041577726805</v>
      </c>
      <c r="K116" s="335">
        <f t="shared" si="28"/>
        <v>17.533811236520268</v>
      </c>
      <c r="L116" s="335">
        <f t="shared" si="29"/>
        <v>17.666856409566087</v>
      </c>
      <c r="M116" s="476">
        <f t="shared" si="39"/>
        <v>10.067260040107332</v>
      </c>
      <c r="N116" s="476">
        <f t="shared" si="30"/>
        <v>6.7840728612733781</v>
      </c>
      <c r="O116" s="485" t="str">
        <f t="shared" si="31"/>
        <v>NO</v>
      </c>
      <c r="P116" s="488" t="str">
        <f t="shared" si="32"/>
        <v/>
      </c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7"/>
      <c r="AH116" s="357"/>
      <c r="AI116" s="357"/>
      <c r="AJ116" s="357"/>
      <c r="AK116" s="357"/>
      <c r="AL116" s="357"/>
      <c r="AM116" s="357"/>
      <c r="AN116" s="357"/>
      <c r="AO116" s="357"/>
      <c r="AP116" s="357"/>
      <c r="AQ116" s="357"/>
      <c r="AR116" s="357"/>
      <c r="AS116" s="357"/>
      <c r="AT116" s="357"/>
      <c r="AU116" s="357"/>
      <c r="AV116" s="357"/>
      <c r="AW116" s="357"/>
    </row>
    <row r="117" spans="3:49" ht="18" customHeight="1">
      <c r="C117" s="443">
        <v>13.4</v>
      </c>
      <c r="D117" s="458">
        <f t="shared" si="33"/>
        <v>16.831815993788819</v>
      </c>
      <c r="E117" s="458">
        <f t="shared" si="27"/>
        <v>16.988565993788818</v>
      </c>
      <c r="F117" s="335">
        <f t="shared" si="34"/>
        <v>30.243333333333332</v>
      </c>
      <c r="G117" s="335">
        <f t="shared" si="35"/>
        <v>1.26970131158382</v>
      </c>
      <c r="H117" s="335">
        <f t="shared" si="36"/>
        <v>11.586024468202359</v>
      </c>
      <c r="I117" s="335">
        <f t="shared" si="37"/>
        <v>0.80517913169976862</v>
      </c>
      <c r="J117" s="335">
        <f t="shared" si="38"/>
        <v>0.78175005900239425</v>
      </c>
      <c r="K117" s="335">
        <f t="shared" si="28"/>
        <v>17.636995125488589</v>
      </c>
      <c r="L117" s="335">
        <f t="shared" si="29"/>
        <v>17.770316052791213</v>
      </c>
      <c r="M117" s="476">
        <f t="shared" si="39"/>
        <v>10.126504378270962</v>
      </c>
      <c r="N117" s="476">
        <f t="shared" si="30"/>
        <v>6.8238013642718256</v>
      </c>
      <c r="O117" s="485" t="str">
        <f t="shared" si="31"/>
        <v>NO</v>
      </c>
      <c r="P117" s="488" t="str">
        <f t="shared" si="32"/>
        <v/>
      </c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7"/>
      <c r="AD117" s="357"/>
      <c r="AE117" s="357"/>
      <c r="AF117" s="357"/>
      <c r="AG117" s="357"/>
      <c r="AH117" s="357"/>
      <c r="AI117" s="357"/>
      <c r="AJ117" s="357"/>
      <c r="AK117" s="357"/>
      <c r="AL117" s="357"/>
      <c r="AM117" s="357"/>
      <c r="AN117" s="357"/>
      <c r="AO117" s="357"/>
      <c r="AP117" s="357"/>
      <c r="AQ117" s="357"/>
      <c r="AR117" s="357"/>
      <c r="AS117" s="357"/>
      <c r="AT117" s="357"/>
      <c r="AU117" s="357"/>
      <c r="AV117" s="357"/>
      <c r="AW117" s="357"/>
    </row>
    <row r="118" spans="3:49" ht="18" customHeight="1">
      <c r="C118" s="443">
        <v>13.5</v>
      </c>
      <c r="D118" s="458">
        <f t="shared" si="33"/>
        <v>16.94131599378882</v>
      </c>
      <c r="E118" s="458">
        <f t="shared" si="27"/>
        <v>17.098065993788818</v>
      </c>
      <c r="F118" s="335">
        <f t="shared" si="34"/>
        <v>30.358333333333331</v>
      </c>
      <c r="G118" s="335">
        <f t="shared" si="35"/>
        <v>1.2648915728794949</v>
      </c>
      <c r="H118" s="335">
        <f t="shared" si="36"/>
        <v>11.542135602525391</v>
      </c>
      <c r="I118" s="335">
        <f t="shared" si="37"/>
        <v>0.79893648990009203</v>
      </c>
      <c r="J118" s="335">
        <f t="shared" si="38"/>
        <v>0.77577891048269809</v>
      </c>
      <c r="K118" s="335">
        <f t="shared" si="28"/>
        <v>17.740252483688913</v>
      </c>
      <c r="L118" s="335">
        <f t="shared" si="29"/>
        <v>17.873844904271518</v>
      </c>
      <c r="M118" s="476">
        <f t="shared" si="39"/>
        <v>10.185790899725692</v>
      </c>
      <c r="N118" s="476">
        <f t="shared" si="30"/>
        <v>6.8635564432402631</v>
      </c>
      <c r="O118" s="485" t="str">
        <f t="shared" si="31"/>
        <v>NO</v>
      </c>
      <c r="P118" s="488" t="str">
        <f t="shared" si="32"/>
        <v/>
      </c>
      <c r="Q118" s="357"/>
      <c r="R118" s="357"/>
      <c r="S118" s="357"/>
      <c r="T118" s="357"/>
      <c r="U118" s="357"/>
      <c r="V118" s="357"/>
      <c r="W118" s="357"/>
      <c r="X118" s="357"/>
      <c r="Y118" s="357"/>
      <c r="Z118" s="357"/>
      <c r="AA118" s="357"/>
      <c r="AB118" s="357"/>
      <c r="AC118" s="357"/>
      <c r="AD118" s="357"/>
      <c r="AE118" s="357"/>
      <c r="AF118" s="357"/>
      <c r="AG118" s="357"/>
      <c r="AH118" s="357"/>
      <c r="AI118" s="357"/>
      <c r="AJ118" s="357"/>
      <c r="AK118" s="357"/>
      <c r="AL118" s="357"/>
      <c r="AM118" s="357"/>
      <c r="AN118" s="357"/>
      <c r="AO118" s="357"/>
      <c r="AP118" s="357"/>
      <c r="AQ118" s="357"/>
      <c r="AR118" s="357"/>
      <c r="AS118" s="357"/>
      <c r="AT118" s="357"/>
      <c r="AU118" s="357"/>
      <c r="AV118" s="357"/>
      <c r="AW118" s="357"/>
    </row>
    <row r="119" spans="3:49" ht="18" customHeight="1">
      <c r="C119" s="443">
        <v>13.600000000000001</v>
      </c>
      <c r="D119" s="458">
        <f t="shared" si="33"/>
        <v>17.05081599378882</v>
      </c>
      <c r="E119" s="458">
        <f t="shared" si="27"/>
        <v>17.207565993788819</v>
      </c>
      <c r="F119" s="335">
        <f t="shared" si="34"/>
        <v>30.473333333333333</v>
      </c>
      <c r="G119" s="335">
        <f t="shared" si="35"/>
        <v>1.2601181360752571</v>
      </c>
      <c r="H119" s="335">
        <f t="shared" si="36"/>
        <v>11.498577991686721</v>
      </c>
      <c r="I119" s="335">
        <f t="shared" si="37"/>
        <v>0.79276618204415716</v>
      </c>
      <c r="J119" s="335">
        <f t="shared" si="38"/>
        <v>0.76987591692257418</v>
      </c>
      <c r="K119" s="335">
        <f t="shared" si="28"/>
        <v>17.843582175832978</v>
      </c>
      <c r="L119" s="335">
        <f t="shared" si="29"/>
        <v>17.977441910711391</v>
      </c>
      <c r="M119" s="476">
        <f t="shared" si="39"/>
        <v>10.245118952631376</v>
      </c>
      <c r="N119" s="476">
        <f t="shared" si="30"/>
        <v>6.9033376937131745</v>
      </c>
      <c r="O119" s="485" t="str">
        <f t="shared" si="31"/>
        <v>NO</v>
      </c>
      <c r="P119" s="488" t="str">
        <f t="shared" si="32"/>
        <v/>
      </c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7"/>
      <c r="AH119" s="357"/>
      <c r="AI119" s="357"/>
      <c r="AJ119" s="357"/>
      <c r="AK119" s="357"/>
      <c r="AL119" s="357"/>
      <c r="AM119" s="357"/>
      <c r="AN119" s="357"/>
      <c r="AO119" s="357"/>
      <c r="AP119" s="357"/>
      <c r="AQ119" s="357"/>
      <c r="AR119" s="357"/>
      <c r="AS119" s="357"/>
      <c r="AT119" s="357"/>
      <c r="AU119" s="357"/>
      <c r="AV119" s="357"/>
      <c r="AW119" s="357"/>
    </row>
    <row r="120" spans="3:49" ht="18" customHeight="1">
      <c r="C120" s="443">
        <v>13.700000000000001</v>
      </c>
      <c r="D120" s="458">
        <f t="shared" si="33"/>
        <v>17.160315993788821</v>
      </c>
      <c r="E120" s="458">
        <f t="shared" si="27"/>
        <v>17.31706599378882</v>
      </c>
      <c r="F120" s="335">
        <f t="shared" si="34"/>
        <v>30.588333333333335</v>
      </c>
      <c r="G120" s="335">
        <f t="shared" si="35"/>
        <v>1.2553805917288725</v>
      </c>
      <c r="H120" s="335">
        <f t="shared" si="36"/>
        <v>11.455347899525961</v>
      </c>
      <c r="I120" s="335">
        <f t="shared" si="37"/>
        <v>0.78666709469254203</v>
      </c>
      <c r="J120" s="335">
        <f t="shared" si="38"/>
        <v>0.76404004498901734</v>
      </c>
      <c r="K120" s="335">
        <f t="shared" si="28"/>
        <v>17.946983088481364</v>
      </c>
      <c r="L120" s="335">
        <f t="shared" si="29"/>
        <v>18.081106038777836</v>
      </c>
      <c r="M120" s="476">
        <f t="shared" si="39"/>
        <v>10.304487897692651</v>
      </c>
      <c r="N120" s="476">
        <f t="shared" si="30"/>
        <v>6.9431447188906894</v>
      </c>
      <c r="O120" s="485" t="str">
        <f t="shared" si="31"/>
        <v>NO</v>
      </c>
      <c r="P120" s="488" t="str">
        <f t="shared" si="32"/>
        <v/>
      </c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7"/>
      <c r="AB120" s="357"/>
      <c r="AC120" s="357"/>
      <c r="AD120" s="357"/>
      <c r="AE120" s="357"/>
      <c r="AF120" s="357"/>
      <c r="AG120" s="357"/>
      <c r="AH120" s="357"/>
      <c r="AI120" s="357"/>
      <c r="AJ120" s="357"/>
      <c r="AK120" s="357"/>
      <c r="AL120" s="357"/>
      <c r="AM120" s="357"/>
      <c r="AN120" s="357"/>
      <c r="AO120" s="357"/>
      <c r="AP120" s="357"/>
      <c r="AQ120" s="357"/>
      <c r="AR120" s="357"/>
      <c r="AS120" s="357"/>
      <c r="AT120" s="357"/>
      <c r="AU120" s="357"/>
      <c r="AV120" s="357"/>
      <c r="AW120" s="357"/>
    </row>
    <row r="121" spans="3:49" ht="18" customHeight="1">
      <c r="C121" s="443">
        <v>13.8</v>
      </c>
      <c r="D121" s="458">
        <f t="shared" si="33"/>
        <v>17.269815993788821</v>
      </c>
      <c r="E121" s="458">
        <f t="shared" si="27"/>
        <v>17.42656599378882</v>
      </c>
      <c r="F121" s="335">
        <f t="shared" si="34"/>
        <v>30.703333333333333</v>
      </c>
      <c r="G121" s="335">
        <f t="shared" si="35"/>
        <v>1.2506785365324069</v>
      </c>
      <c r="H121" s="335">
        <f t="shared" si="36"/>
        <v>11.412441645858214</v>
      </c>
      <c r="I121" s="335">
        <f t="shared" si="37"/>
        <v>0.7806381357519192</v>
      </c>
      <c r="J121" s="335">
        <f t="shared" si="38"/>
        <v>0.75827028085931414</v>
      </c>
      <c r="K121" s="335">
        <f t="shared" si="28"/>
        <v>18.050454129540739</v>
      </c>
      <c r="L121" s="335">
        <f t="shared" si="29"/>
        <v>18.184836274648134</v>
      </c>
      <c r="M121" s="476">
        <f t="shared" si="39"/>
        <v>10.363897107870281</v>
      </c>
      <c r="N121" s="476">
        <f t="shared" si="30"/>
        <v>6.9829771294648841</v>
      </c>
      <c r="O121" s="485" t="str">
        <f t="shared" si="31"/>
        <v>NO</v>
      </c>
      <c r="P121" s="488" t="str">
        <f t="shared" si="32"/>
        <v/>
      </c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7"/>
      <c r="AB121" s="357"/>
      <c r="AC121" s="357"/>
      <c r="AD121" s="357"/>
      <c r="AE121" s="357"/>
      <c r="AF121" s="357"/>
      <c r="AG121" s="357"/>
      <c r="AH121" s="357"/>
      <c r="AI121" s="357"/>
      <c r="AJ121" s="357"/>
      <c r="AK121" s="357"/>
      <c r="AL121" s="357"/>
      <c r="AM121" s="357"/>
      <c r="AN121" s="357"/>
      <c r="AO121" s="357"/>
      <c r="AP121" s="357"/>
      <c r="AQ121" s="357"/>
      <c r="AR121" s="357"/>
      <c r="AS121" s="357"/>
      <c r="AT121" s="357"/>
      <c r="AU121" s="357"/>
      <c r="AV121" s="357"/>
      <c r="AW121" s="357"/>
    </row>
    <row r="122" spans="3:49" ht="18" customHeight="1">
      <c r="C122" s="443">
        <v>13.9</v>
      </c>
      <c r="D122" s="458">
        <f t="shared" si="33"/>
        <v>17.379315993788818</v>
      </c>
      <c r="E122" s="458">
        <f t="shared" si="27"/>
        <v>17.536065993788817</v>
      </c>
      <c r="F122" s="335">
        <f t="shared" si="34"/>
        <v>30.818333333333332</v>
      </c>
      <c r="G122" s="335">
        <f t="shared" si="35"/>
        <v>1.2460115731977719</v>
      </c>
      <c r="H122" s="335">
        <f t="shared" si="36"/>
        <v>11.369855605429668</v>
      </c>
      <c r="I122" s="335">
        <f t="shared" si="37"/>
        <v>0.77467823398575431</v>
      </c>
      <c r="J122" s="335">
        <f t="shared" si="38"/>
        <v>0.75256562978064234</v>
      </c>
      <c r="K122" s="335">
        <f t="shared" si="28"/>
        <v>18.153994227774572</v>
      </c>
      <c r="L122" s="335">
        <f t="shared" si="29"/>
        <v>18.288631623569458</v>
      </c>
      <c r="M122" s="476">
        <f t="shared" si="39"/>
        <v>10.423345968100234</v>
      </c>
      <c r="N122" s="476">
        <f t="shared" si="30"/>
        <v>7.0228345434506725</v>
      </c>
      <c r="O122" s="485" t="str">
        <f t="shared" si="31"/>
        <v>NO</v>
      </c>
      <c r="P122" s="488" t="str">
        <f t="shared" si="32"/>
        <v/>
      </c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7"/>
      <c r="AD122" s="357"/>
      <c r="AE122" s="357"/>
      <c r="AF122" s="357"/>
      <c r="AG122" s="357"/>
      <c r="AH122" s="357"/>
      <c r="AI122" s="357"/>
      <c r="AJ122" s="357"/>
      <c r="AK122" s="357"/>
      <c r="AL122" s="357"/>
      <c r="AM122" s="357"/>
      <c r="AN122" s="357"/>
      <c r="AO122" s="357"/>
      <c r="AP122" s="357"/>
      <c r="AQ122" s="357"/>
      <c r="AR122" s="357"/>
      <c r="AS122" s="357"/>
      <c r="AT122" s="357"/>
      <c r="AU122" s="357"/>
      <c r="AV122" s="357"/>
      <c r="AW122" s="357"/>
    </row>
    <row r="123" spans="3:49" ht="18" customHeight="1">
      <c r="C123" s="443">
        <v>14</v>
      </c>
      <c r="D123" s="458">
        <f t="shared" si="33"/>
        <v>17.488815993788819</v>
      </c>
      <c r="E123" s="458">
        <f t="shared" si="27"/>
        <v>17.645565993788818</v>
      </c>
      <c r="F123" s="335">
        <f t="shared" si="34"/>
        <v>30.93333333333333</v>
      </c>
      <c r="G123" s="335">
        <f t="shared" si="35"/>
        <v>1.2413793103448276</v>
      </c>
      <c r="H123" s="335">
        <f t="shared" si="36"/>
        <v>11.327586206896553</v>
      </c>
      <c r="I123" s="335">
        <f t="shared" si="37"/>
        <v>0.76878633853804823</v>
      </c>
      <c r="J123" s="335">
        <f t="shared" si="38"/>
        <v>0.74692511564123165</v>
      </c>
      <c r="K123" s="335">
        <f t="shared" si="28"/>
        <v>18.257602332326869</v>
      </c>
      <c r="L123" s="335">
        <f t="shared" si="29"/>
        <v>18.39249110943005</v>
      </c>
      <c r="M123" s="476">
        <f t="shared" si="39"/>
        <v>10.482833875020212</v>
      </c>
      <c r="N123" s="476">
        <f t="shared" si="30"/>
        <v>7.0627165860211401</v>
      </c>
      <c r="O123" s="485" t="str">
        <f t="shared" si="31"/>
        <v>NO</v>
      </c>
      <c r="P123" s="488" t="str">
        <f t="shared" si="32"/>
        <v/>
      </c>
      <c r="Q123" s="357"/>
      <c r="R123" s="357"/>
      <c r="S123" s="357"/>
      <c r="T123" s="357"/>
      <c r="U123" s="357"/>
      <c r="V123" s="357"/>
      <c r="W123" s="357"/>
      <c r="X123" s="357"/>
      <c r="Y123" s="357"/>
      <c r="Z123" s="357"/>
      <c r="AA123" s="357"/>
      <c r="AB123" s="357"/>
      <c r="AC123" s="357"/>
      <c r="AD123" s="357"/>
      <c r="AE123" s="357"/>
      <c r="AF123" s="357"/>
      <c r="AG123" s="357"/>
      <c r="AH123" s="357"/>
      <c r="AI123" s="357"/>
      <c r="AJ123" s="357"/>
      <c r="AK123" s="357"/>
      <c r="AL123" s="357"/>
      <c r="AM123" s="357"/>
      <c r="AN123" s="357"/>
      <c r="AO123" s="357"/>
      <c r="AP123" s="357"/>
      <c r="AQ123" s="357"/>
      <c r="AR123" s="357"/>
      <c r="AS123" s="357"/>
      <c r="AT123" s="357"/>
      <c r="AU123" s="357"/>
      <c r="AV123" s="357"/>
      <c r="AW123" s="357"/>
    </row>
    <row r="124" spans="3:49" ht="18" customHeight="1">
      <c r="C124" s="443">
        <v>14.100000000000001</v>
      </c>
      <c r="D124" s="458">
        <f t="shared" si="33"/>
        <v>17.59831599378882</v>
      </c>
      <c r="E124" s="458">
        <f t="shared" si="27"/>
        <v>17.755065993788818</v>
      </c>
      <c r="F124" s="335">
        <f t="shared" si="34"/>
        <v>31.048333333333332</v>
      </c>
      <c r="G124" s="335">
        <f t="shared" si="35"/>
        <v>1.2367813623919695</v>
      </c>
      <c r="H124" s="335">
        <f t="shared" si="36"/>
        <v>11.285629931826721</v>
      </c>
      <c r="I124" s="335">
        <f t="shared" si="37"/>
        <v>0.76296141846971544</v>
      </c>
      <c r="J124" s="335">
        <f t="shared" si="38"/>
        <v>0.74134778055272632</v>
      </c>
      <c r="K124" s="335">
        <f t="shared" si="28"/>
        <v>18.361277412258534</v>
      </c>
      <c r="L124" s="335">
        <f t="shared" si="29"/>
        <v>18.496413774341544</v>
      </c>
      <c r="M124" s="476">
        <f t="shared" si="39"/>
        <v>10.542360236703466</v>
      </c>
      <c r="N124" s="476">
        <f t="shared" si="30"/>
        <v>7.1026228893471535</v>
      </c>
      <c r="O124" s="485" t="str">
        <f t="shared" si="31"/>
        <v>NO</v>
      </c>
      <c r="P124" s="488" t="str">
        <f t="shared" si="32"/>
        <v/>
      </c>
      <c r="Q124" s="357"/>
      <c r="R124" s="357"/>
      <c r="S124" s="357"/>
      <c r="T124" s="357"/>
      <c r="U124" s="357"/>
      <c r="V124" s="357"/>
      <c r="W124" s="357"/>
      <c r="X124" s="357"/>
      <c r="Y124" s="357"/>
      <c r="Z124" s="357"/>
      <c r="AA124" s="357"/>
      <c r="AB124" s="357"/>
      <c r="AC124" s="357"/>
      <c r="AD124" s="357"/>
      <c r="AE124" s="357"/>
      <c r="AF124" s="357"/>
      <c r="AG124" s="357"/>
      <c r="AH124" s="357"/>
      <c r="AI124" s="357"/>
      <c r="AJ124" s="357"/>
      <c r="AK124" s="357"/>
      <c r="AL124" s="357"/>
      <c r="AM124" s="357"/>
      <c r="AN124" s="357"/>
      <c r="AO124" s="357"/>
      <c r="AP124" s="357"/>
      <c r="AQ124" s="357"/>
      <c r="AR124" s="357"/>
      <c r="AS124" s="357"/>
      <c r="AT124" s="357"/>
      <c r="AU124" s="357"/>
      <c r="AV124" s="357"/>
      <c r="AW124" s="357"/>
    </row>
    <row r="125" spans="3:49" ht="18" customHeight="1">
      <c r="C125" s="443">
        <v>14.200000000000001</v>
      </c>
      <c r="D125" s="458">
        <f t="shared" si="33"/>
        <v>17.70781599378882</v>
      </c>
      <c r="E125" s="458">
        <f t="shared" si="27"/>
        <v>17.864565993788819</v>
      </c>
      <c r="F125" s="335">
        <f t="shared" si="34"/>
        <v>31.16333333333333</v>
      </c>
      <c r="G125" s="335">
        <f t="shared" si="35"/>
        <v>1.2322173494491391</v>
      </c>
      <c r="H125" s="335">
        <f t="shared" si="36"/>
        <v>11.243983313723396</v>
      </c>
      <c r="I125" s="335">
        <f t="shared" si="37"/>
        <v>0.7572024623072281</v>
      </c>
      <c r="J125" s="335">
        <f t="shared" si="38"/>
        <v>0.73583268444343053</v>
      </c>
      <c r="K125" s="335">
        <f t="shared" si="28"/>
        <v>18.465018456096047</v>
      </c>
      <c r="L125" s="335">
        <f t="shared" si="29"/>
        <v>18.600398678232249</v>
      </c>
      <c r="M125" s="476">
        <f t="shared" si="39"/>
        <v>10.601924472399645</v>
      </c>
      <c r="N125" s="476">
        <f t="shared" si="30"/>
        <v>7.142553092441184</v>
      </c>
      <c r="O125" s="485" t="str">
        <f t="shared" si="31"/>
        <v>NO</v>
      </c>
      <c r="P125" s="488" t="str">
        <f t="shared" si="32"/>
        <v/>
      </c>
      <c r="Q125" s="357"/>
      <c r="R125" s="357"/>
      <c r="S125" s="357"/>
      <c r="T125" s="357"/>
      <c r="U125" s="357"/>
      <c r="V125" s="357"/>
      <c r="W125" s="357"/>
      <c r="X125" s="357"/>
      <c r="Y125" s="357"/>
      <c r="Z125" s="357"/>
      <c r="AA125" s="357"/>
      <c r="AB125" s="357"/>
      <c r="AC125" s="357"/>
      <c r="AD125" s="357"/>
      <c r="AE125" s="357"/>
      <c r="AF125" s="357"/>
      <c r="AG125" s="357"/>
      <c r="AH125" s="357"/>
      <c r="AI125" s="357"/>
      <c r="AJ125" s="357"/>
      <c r="AK125" s="357"/>
      <c r="AL125" s="357"/>
      <c r="AM125" s="357"/>
      <c r="AN125" s="357"/>
      <c r="AO125" s="357"/>
      <c r="AP125" s="357"/>
      <c r="AQ125" s="357"/>
      <c r="AR125" s="357"/>
      <c r="AS125" s="357"/>
      <c r="AT125" s="357"/>
      <c r="AU125" s="357"/>
      <c r="AV125" s="357"/>
      <c r="AW125" s="357"/>
    </row>
    <row r="126" spans="3:49" ht="18" customHeight="1">
      <c r="C126" s="443">
        <v>14.3</v>
      </c>
      <c r="D126" s="458">
        <f t="shared" si="33"/>
        <v>17.817315993788821</v>
      </c>
      <c r="E126" s="458">
        <f t="shared" si="27"/>
        <v>17.97406599378882</v>
      </c>
      <c r="F126" s="335">
        <f t="shared" si="34"/>
        <v>31.278333333333332</v>
      </c>
      <c r="G126" s="335">
        <f t="shared" si="35"/>
        <v>1.2276868972131934</v>
      </c>
      <c r="H126" s="335">
        <f t="shared" si="36"/>
        <v>11.202642937070388</v>
      </c>
      <c r="I126" s="335">
        <f t="shared" si="37"/>
        <v>0.75150847760314543</v>
      </c>
      <c r="J126" s="335">
        <f t="shared" si="38"/>
        <v>0.73037890466210109</v>
      </c>
      <c r="K126" s="335">
        <f t="shared" si="28"/>
        <v>18.568824471391967</v>
      </c>
      <c r="L126" s="335">
        <f t="shared" si="29"/>
        <v>18.70444489845092</v>
      </c>
      <c r="M126" s="476">
        <f t="shared" si="39"/>
        <v>10.66152601228247</v>
      </c>
      <c r="N126" s="476">
        <f t="shared" si="30"/>
        <v>7.1825068410051536</v>
      </c>
      <c r="O126" s="485" t="str">
        <f t="shared" si="31"/>
        <v>NO</v>
      </c>
      <c r="P126" s="488" t="str">
        <f t="shared" si="32"/>
        <v/>
      </c>
      <c r="Q126" s="357"/>
      <c r="R126" s="357"/>
      <c r="S126" s="357"/>
      <c r="T126" s="357"/>
      <c r="U126" s="357"/>
      <c r="V126" s="357"/>
      <c r="W126" s="357"/>
      <c r="X126" s="357"/>
      <c r="Y126" s="357"/>
      <c r="Z126" s="357"/>
      <c r="AA126" s="357"/>
      <c r="AB126" s="357"/>
      <c r="AC126" s="357"/>
      <c r="AD126" s="357"/>
      <c r="AE126" s="357"/>
      <c r="AF126" s="357"/>
      <c r="AG126" s="357"/>
      <c r="AH126" s="357"/>
      <c r="AI126" s="357"/>
      <c r="AJ126" s="357"/>
      <c r="AK126" s="357"/>
      <c r="AL126" s="357"/>
      <c r="AM126" s="357"/>
      <c r="AN126" s="357"/>
      <c r="AO126" s="357"/>
      <c r="AP126" s="357"/>
      <c r="AQ126" s="357"/>
      <c r="AR126" s="357"/>
      <c r="AS126" s="357"/>
      <c r="AT126" s="357"/>
      <c r="AU126" s="357"/>
      <c r="AV126" s="357"/>
      <c r="AW126" s="357"/>
    </row>
    <row r="127" spans="3:49" ht="18" customHeight="1">
      <c r="C127" s="443">
        <v>14.4</v>
      </c>
      <c r="D127" s="458">
        <f t="shared" si="33"/>
        <v>17.926815993788818</v>
      </c>
      <c r="E127" s="458">
        <f t="shared" si="27"/>
        <v>18.083565993788817</v>
      </c>
      <c r="F127" s="335">
        <f t="shared" si="34"/>
        <v>31.393333333333331</v>
      </c>
      <c r="G127" s="335">
        <f t="shared" si="35"/>
        <v>1.2231896368655766</v>
      </c>
      <c r="H127" s="335">
        <f t="shared" si="36"/>
        <v>11.161605436398387</v>
      </c>
      <c r="I127" s="335">
        <f t="shared" si="37"/>
        <v>0.74587849050818278</v>
      </c>
      <c r="J127" s="335">
        <f t="shared" si="38"/>
        <v>0.72498553559198708</v>
      </c>
      <c r="K127" s="335">
        <f t="shared" si="28"/>
        <v>18.672694484297001</v>
      </c>
      <c r="L127" s="335">
        <f t="shared" si="29"/>
        <v>18.808551529380804</v>
      </c>
      <c r="M127" s="476">
        <f t="shared" si="39"/>
        <v>10.721164297204021</v>
      </c>
      <c r="N127" s="476">
        <f t="shared" si="30"/>
        <v>7.2224837872822292</v>
      </c>
      <c r="O127" s="485" t="str">
        <f t="shared" si="31"/>
        <v>NO</v>
      </c>
      <c r="P127" s="488" t="str">
        <f t="shared" si="32"/>
        <v/>
      </c>
      <c r="Q127" s="357"/>
      <c r="R127" s="357"/>
      <c r="S127" s="357"/>
      <c r="T127" s="357"/>
      <c r="U127" s="357"/>
      <c r="V127" s="357"/>
      <c r="W127" s="357"/>
      <c r="X127" s="357"/>
      <c r="Y127" s="357"/>
      <c r="Z127" s="357"/>
      <c r="AA127" s="357"/>
      <c r="AB127" s="357"/>
      <c r="AC127" s="357"/>
      <c r="AD127" s="357"/>
      <c r="AE127" s="357"/>
      <c r="AF127" s="357"/>
      <c r="AG127" s="357"/>
      <c r="AH127" s="357"/>
      <c r="AI127" s="357"/>
      <c r="AJ127" s="357"/>
      <c r="AK127" s="357"/>
      <c r="AL127" s="357"/>
      <c r="AM127" s="357"/>
      <c r="AN127" s="357"/>
      <c r="AO127" s="357"/>
      <c r="AP127" s="357"/>
      <c r="AQ127" s="357"/>
      <c r="AR127" s="357"/>
      <c r="AS127" s="357"/>
      <c r="AT127" s="357"/>
      <c r="AU127" s="357"/>
      <c r="AV127" s="357"/>
      <c r="AW127" s="357"/>
    </row>
    <row r="128" spans="3:49" ht="18" customHeight="1">
      <c r="C128" s="443">
        <v>14.5</v>
      </c>
      <c r="D128" s="458">
        <f t="shared" si="33"/>
        <v>18.036315993788818</v>
      </c>
      <c r="E128" s="458">
        <f t="shared" si="27"/>
        <v>18.193065993788817</v>
      </c>
      <c r="F128" s="335">
        <f t="shared" si="34"/>
        <v>31.508333333333329</v>
      </c>
      <c r="G128" s="335">
        <f t="shared" si="35"/>
        <v>1.2187252049722297</v>
      </c>
      <c r="H128" s="335">
        <f t="shared" si="36"/>
        <v>11.120867495371597</v>
      </c>
      <c r="I128" s="335">
        <f t="shared" si="37"/>
        <v>0.74031154535446453</v>
      </c>
      <c r="J128" s="335">
        <f t="shared" si="38"/>
        <v>0.71965168827480508</v>
      </c>
      <c r="K128" s="335">
        <f t="shared" si="28"/>
        <v>18.776627539143284</v>
      </c>
      <c r="L128" s="335">
        <f t="shared" si="29"/>
        <v>18.912717682063622</v>
      </c>
      <c r="M128" s="476">
        <f t="shared" si="39"/>
        <v>10.780838778455475</v>
      </c>
      <c r="N128" s="476">
        <f t="shared" si="30"/>
        <v>7.2624835899124314</v>
      </c>
      <c r="O128" s="485" t="str">
        <f t="shared" si="31"/>
        <v>NO</v>
      </c>
      <c r="P128" s="488" t="str">
        <f t="shared" si="32"/>
        <v/>
      </c>
      <c r="Q128" s="357"/>
      <c r="R128" s="357"/>
      <c r="S128" s="357"/>
      <c r="T128" s="357"/>
      <c r="U128" s="357"/>
      <c r="V128" s="357"/>
      <c r="W128" s="357"/>
      <c r="X128" s="357"/>
      <c r="Y128" s="357"/>
      <c r="Z128" s="357"/>
      <c r="AA128" s="357"/>
      <c r="AB128" s="357"/>
      <c r="AC128" s="357"/>
      <c r="AD128" s="357"/>
      <c r="AE128" s="357"/>
      <c r="AF128" s="357"/>
      <c r="AG128" s="357"/>
      <c r="AH128" s="357"/>
      <c r="AI128" s="357"/>
      <c r="AJ128" s="357"/>
      <c r="AK128" s="357"/>
      <c r="AL128" s="357"/>
      <c r="AM128" s="357"/>
      <c r="AN128" s="357"/>
      <c r="AO128" s="357"/>
      <c r="AP128" s="357"/>
      <c r="AQ128" s="357"/>
      <c r="AR128" s="357"/>
      <c r="AS128" s="357"/>
      <c r="AT128" s="357"/>
      <c r="AU128" s="357"/>
      <c r="AV128" s="357"/>
      <c r="AW128" s="357"/>
    </row>
    <row r="129" spans="3:49" ht="18" customHeight="1">
      <c r="C129" s="443">
        <v>14.600000000000001</v>
      </c>
      <c r="D129" s="458">
        <f t="shared" si="33"/>
        <v>18.145815993788823</v>
      </c>
      <c r="E129" s="458">
        <f t="shared" si="27"/>
        <v>18.302565993788821</v>
      </c>
      <c r="F129" s="335">
        <f t="shared" si="34"/>
        <v>31.623333333333331</v>
      </c>
      <c r="G129" s="335">
        <f t="shared" si="35"/>
        <v>1.2142932433856857</v>
      </c>
      <c r="H129" s="335">
        <f t="shared" si="36"/>
        <v>11.080425845894382</v>
      </c>
      <c r="I129" s="335">
        <f t="shared" si="37"/>
        <v>0.73480670424963779</v>
      </c>
      <c r="J129" s="335">
        <f t="shared" si="38"/>
        <v>0.71437649004436521</v>
      </c>
      <c r="K129" s="335">
        <f t="shared" si="28"/>
        <v>18.880622698038461</v>
      </c>
      <c r="L129" s="335">
        <f t="shared" si="29"/>
        <v>19.016942483833187</v>
      </c>
      <c r="M129" s="476">
        <f t="shared" si="39"/>
        <v>10.840548917534045</v>
      </c>
      <c r="N129" s="476">
        <f t="shared" si="30"/>
        <v>7.3025059137919444</v>
      </c>
      <c r="O129" s="485" t="str">
        <f t="shared" si="31"/>
        <v>NO</v>
      </c>
      <c r="P129" s="488" t="str">
        <f t="shared" si="32"/>
        <v/>
      </c>
      <c r="Q129" s="357"/>
      <c r="R129" s="357"/>
      <c r="S129" s="357"/>
      <c r="T129" s="357"/>
      <c r="U129" s="357"/>
      <c r="V129" s="357"/>
      <c r="W129" s="357"/>
      <c r="X129" s="357"/>
      <c r="Y129" s="357"/>
      <c r="Z129" s="357"/>
      <c r="AA129" s="357"/>
      <c r="AB129" s="357"/>
      <c r="AC129" s="357"/>
      <c r="AD129" s="357"/>
      <c r="AE129" s="357"/>
      <c r="AF129" s="357"/>
      <c r="AG129" s="357"/>
      <c r="AH129" s="357"/>
      <c r="AI129" s="357"/>
      <c r="AJ129" s="357"/>
      <c r="AK129" s="357"/>
      <c r="AL129" s="357"/>
      <c r="AM129" s="357"/>
      <c r="AN129" s="357"/>
      <c r="AO129" s="357"/>
      <c r="AP129" s="357"/>
      <c r="AQ129" s="357"/>
      <c r="AR129" s="357"/>
      <c r="AS129" s="357"/>
      <c r="AT129" s="357"/>
      <c r="AU129" s="357"/>
      <c r="AV129" s="357"/>
      <c r="AW129" s="357"/>
    </row>
    <row r="130" spans="3:49" ht="18" customHeight="1">
      <c r="C130" s="443">
        <v>14.700000000000001</v>
      </c>
      <c r="D130" s="458">
        <f t="shared" si="33"/>
        <v>18.25531599378882</v>
      </c>
      <c r="E130" s="458">
        <f t="shared" si="27"/>
        <v>18.412065993788818</v>
      </c>
      <c r="F130" s="335">
        <f t="shared" si="34"/>
        <v>31.738333333333333</v>
      </c>
      <c r="G130" s="335">
        <f t="shared" si="35"/>
        <v>1.2098933991492937</v>
      </c>
      <c r="H130" s="335">
        <f t="shared" si="36"/>
        <v>11.040277267237306</v>
      </c>
      <c r="I130" s="335">
        <f t="shared" si="37"/>
        <v>0.72936304668151819</v>
      </c>
      <c r="J130" s="335">
        <f t="shared" si="38"/>
        <v>0.70915908416956475</v>
      </c>
      <c r="K130" s="335">
        <f t="shared" si="28"/>
        <v>18.984679040470336</v>
      </c>
      <c r="L130" s="335">
        <f t="shared" si="29"/>
        <v>19.121225077958382</v>
      </c>
      <c r="M130" s="476">
        <f t="shared" si="39"/>
        <v>10.900294185915984</v>
      </c>
      <c r="N130" s="476">
        <f t="shared" si="30"/>
        <v>7.3425504299360194</v>
      </c>
      <c r="O130" s="485" t="str">
        <f t="shared" si="31"/>
        <v>NO</v>
      </c>
      <c r="P130" s="488" t="str">
        <f t="shared" si="32"/>
        <v/>
      </c>
      <c r="Q130" s="357"/>
      <c r="R130" s="357"/>
      <c r="S130" s="357"/>
      <c r="T130" s="357"/>
      <c r="U130" s="357"/>
      <c r="V130" s="357"/>
      <c r="W130" s="357"/>
      <c r="X130" s="357"/>
      <c r="Y130" s="357"/>
      <c r="Z130" s="357"/>
      <c r="AA130" s="357"/>
      <c r="AB130" s="357"/>
      <c r="AC130" s="357"/>
      <c r="AD130" s="357"/>
      <c r="AE130" s="357"/>
      <c r="AF130" s="357"/>
      <c r="AG130" s="357"/>
      <c r="AH130" s="357"/>
      <c r="AI130" s="357"/>
      <c r="AJ130" s="357"/>
      <c r="AK130" s="357"/>
      <c r="AL130" s="357"/>
      <c r="AM130" s="357"/>
      <c r="AN130" s="357"/>
      <c r="AO130" s="357"/>
      <c r="AP130" s="357"/>
      <c r="AQ130" s="357"/>
      <c r="AR130" s="357"/>
      <c r="AS130" s="357"/>
      <c r="AT130" s="357"/>
      <c r="AU130" s="357"/>
      <c r="AV130" s="357"/>
      <c r="AW130" s="357"/>
    </row>
    <row r="131" spans="3:49" ht="18" customHeight="1">
      <c r="C131" s="443">
        <v>14.8</v>
      </c>
      <c r="D131" s="458">
        <f t="shared" ref="D131:D143" si="40">($B$10/12*(C131+$B$5/12)-$B$6)*$B$14</f>
        <v>18.36481599378882</v>
      </c>
      <c r="E131" s="458">
        <f t="shared" si="27"/>
        <v>18.521565993788819</v>
      </c>
      <c r="F131" s="335">
        <f t="shared" ref="F131:F143" si="41">IF($C131&lt;$B$26,$B$22/12+1.15*$C131,$B$22/12+1.15*$C131+$B$24)</f>
        <v>31.853333333333332</v>
      </c>
      <c r="G131" s="335">
        <f t="shared" ref="G131:G143" si="42">IF($C131&lt;$B$26,$B$27*$B$20/F131,2*$B$27*$B$20/F131)</f>
        <v>1.2055253244035162</v>
      </c>
      <c r="H131" s="335">
        <f t="shared" ref="H131:H143" si="43">IF(F131&lt;$B$10/12,G131*F131,G131*$B$10/12)</f>
        <v>11.000418585182084</v>
      </c>
      <c r="I131" s="335">
        <f t="shared" ref="I131:I143" si="44">IF(C131+$B$5/12&lt;$B$25,H131/($B$21/12+1.15*(C131+$B$5/12)),2*H131/($B$21/12+$B$23+1.15*(C131+$B$5/12)))</f>
        <v>0.72397966913295775</v>
      </c>
      <c r="J131" s="335">
        <f t="shared" ref="J131:J143" si="45">IF(C131+$B$5/12+$B$8/12&lt;$B$25,H131/($B$21/12+1.15*(C131+$B$5/12+$B$8/12)),2*H131/($B$21/12+$B$23+1.15*(C131+$B$5/12+$B$8/12)))</f>
        <v>0.70399862950647318</v>
      </c>
      <c r="K131" s="335">
        <f t="shared" si="28"/>
        <v>19.088795662921779</v>
      </c>
      <c r="L131" s="335">
        <f t="shared" si="29"/>
        <v>19.225564623295291</v>
      </c>
      <c r="M131" s="476">
        <f t="shared" ref="M131:M143" si="46">K131/($B$11/12)</f>
        <v>10.960074064835473</v>
      </c>
      <c r="N131" s="476">
        <f t="shared" si="30"/>
        <v>7.3826168153453926</v>
      </c>
      <c r="O131" s="485" t="str">
        <f t="shared" si="31"/>
        <v>NO</v>
      </c>
      <c r="P131" s="488" t="str">
        <f t="shared" si="32"/>
        <v/>
      </c>
      <c r="Q131" s="357"/>
      <c r="R131" s="357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7"/>
      <c r="AD131" s="357"/>
      <c r="AE131" s="357"/>
      <c r="AF131" s="357"/>
      <c r="AG131" s="357"/>
      <c r="AH131" s="357"/>
      <c r="AI131" s="357"/>
      <c r="AJ131" s="357"/>
      <c r="AK131" s="357"/>
      <c r="AL131" s="357"/>
      <c r="AM131" s="357"/>
      <c r="AN131" s="357"/>
      <c r="AO131" s="357"/>
      <c r="AP131" s="357"/>
      <c r="AQ131" s="357"/>
      <c r="AR131" s="357"/>
      <c r="AS131" s="357"/>
      <c r="AT131" s="357"/>
      <c r="AU131" s="357"/>
      <c r="AV131" s="357"/>
      <c r="AW131" s="357"/>
    </row>
    <row r="132" spans="3:49" ht="18" customHeight="1">
      <c r="C132" s="443">
        <v>14.9</v>
      </c>
      <c r="D132" s="458">
        <f t="shared" si="40"/>
        <v>18.474315993788817</v>
      </c>
      <c r="E132" s="458">
        <f t="shared" ref="E132:E143" si="47">D132+$B$8/12*$B$11/12*$B$14</f>
        <v>18.631065993788816</v>
      </c>
      <c r="F132" s="335">
        <f t="shared" si="41"/>
        <v>31.96833333333333</v>
      </c>
      <c r="G132" s="335">
        <f t="shared" si="42"/>
        <v>1.2011886762942496</v>
      </c>
      <c r="H132" s="335">
        <f t="shared" si="43"/>
        <v>10.960846671185029</v>
      </c>
      <c r="I132" s="335">
        <f t="shared" si="44"/>
        <v>0.71865568470663632</v>
      </c>
      <c r="J132" s="335">
        <f t="shared" si="45"/>
        <v>0.69889430015924947</v>
      </c>
      <c r="K132" s="335">
        <f t="shared" ref="K132:K143" si="48">D132+I132</f>
        <v>19.192971678495454</v>
      </c>
      <c r="L132" s="335">
        <f t="shared" ref="L132:L143" si="49">E132+J132</f>
        <v>19.329960293948066</v>
      </c>
      <c r="M132" s="476">
        <f t="shared" si="46"/>
        <v>11.019888045069161</v>
      </c>
      <c r="N132" s="476">
        <f t="shared" ref="N132:N143" si="50">L132/($B$12/12)</f>
        <v>7.4227047528760579</v>
      </c>
      <c r="O132" s="485" t="str">
        <f t="shared" ref="O132:O143" si="51">IF(AND(M132&lt;=$B$17,N132&lt;=$B$18),"YES","NO")</f>
        <v>NO</v>
      </c>
      <c r="P132" s="488" t="str">
        <f t="shared" ref="P132:P143" si="52">IF(AND(O132="YES",O133="NO"),C132,"")</f>
        <v/>
      </c>
      <c r="Q132" s="357"/>
      <c r="R132" s="357"/>
      <c r="S132" s="357"/>
      <c r="T132" s="357"/>
      <c r="U132" s="357"/>
      <c r="V132" s="357"/>
      <c r="W132" s="357"/>
      <c r="X132" s="357"/>
      <c r="Y132" s="357"/>
      <c r="Z132" s="357"/>
      <c r="AA132" s="357"/>
      <c r="AB132" s="357"/>
      <c r="AC132" s="357"/>
      <c r="AD132" s="357"/>
      <c r="AE132" s="357"/>
      <c r="AF132" s="357"/>
      <c r="AG132" s="357"/>
      <c r="AH132" s="357"/>
      <c r="AI132" s="357"/>
      <c r="AJ132" s="357"/>
      <c r="AK132" s="357"/>
      <c r="AL132" s="357"/>
      <c r="AM132" s="357"/>
      <c r="AN132" s="357"/>
      <c r="AO132" s="357"/>
      <c r="AP132" s="357"/>
      <c r="AQ132" s="357"/>
      <c r="AR132" s="357"/>
      <c r="AS132" s="357"/>
      <c r="AT132" s="357"/>
      <c r="AU132" s="357"/>
      <c r="AV132" s="357"/>
      <c r="AW132" s="357"/>
    </row>
    <row r="133" spans="3:49" ht="18" customHeight="1">
      <c r="C133" s="443">
        <v>15</v>
      </c>
      <c r="D133" s="458">
        <f t="shared" si="40"/>
        <v>18.583815993788818</v>
      </c>
      <c r="E133" s="458">
        <f t="shared" si="47"/>
        <v>18.740565993788817</v>
      </c>
      <c r="F133" s="335">
        <f t="shared" si="41"/>
        <v>32.083333333333329</v>
      </c>
      <c r="G133" s="335">
        <f t="shared" si="42"/>
        <v>1.1968831168831171</v>
      </c>
      <c r="H133" s="335">
        <f t="shared" si="43"/>
        <v>10.921558441558444</v>
      </c>
      <c r="I133" s="335">
        <f t="shared" si="44"/>
        <v>0.71339022275948194</v>
      </c>
      <c r="J133" s="335">
        <f t="shared" si="45"/>
        <v>0.69384528514963317</v>
      </c>
      <c r="K133" s="335">
        <f t="shared" si="48"/>
        <v>19.2972062165483</v>
      </c>
      <c r="L133" s="335">
        <f t="shared" si="49"/>
        <v>19.434411278938448</v>
      </c>
      <c r="M133" s="476">
        <f t="shared" si="46"/>
        <v>11.079735626726299</v>
      </c>
      <c r="N133" s="476">
        <f t="shared" si="50"/>
        <v>7.4628139311123647</v>
      </c>
      <c r="O133" s="485" t="str">
        <f t="shared" si="51"/>
        <v>NO</v>
      </c>
      <c r="P133" s="488" t="str">
        <f t="shared" si="52"/>
        <v/>
      </c>
      <c r="Q133" s="357"/>
      <c r="R133" s="357"/>
      <c r="S133" s="357"/>
      <c r="T133" s="357"/>
      <c r="U133" s="357"/>
      <c r="V133" s="357"/>
      <c r="W133" s="357"/>
      <c r="X133" s="357"/>
      <c r="Y133" s="357"/>
      <c r="Z133" s="357"/>
      <c r="AA133" s="357"/>
      <c r="AB133" s="357"/>
      <c r="AC133" s="357"/>
      <c r="AD133" s="357"/>
      <c r="AE133" s="357"/>
      <c r="AF133" s="357"/>
      <c r="AG133" s="357"/>
      <c r="AH133" s="357"/>
      <c r="AI133" s="357"/>
      <c r="AJ133" s="357"/>
      <c r="AK133" s="357"/>
      <c r="AL133" s="357"/>
      <c r="AM133" s="357"/>
      <c r="AN133" s="357"/>
      <c r="AO133" s="357"/>
      <c r="AP133" s="357"/>
      <c r="AQ133" s="357"/>
      <c r="AR133" s="357"/>
      <c r="AS133" s="357"/>
      <c r="AT133" s="357"/>
      <c r="AU133" s="357"/>
      <c r="AV133" s="357"/>
      <c r="AW133" s="357"/>
    </row>
    <row r="134" spans="3:49" ht="18" customHeight="1">
      <c r="C134" s="443">
        <v>15.100000000000001</v>
      </c>
      <c r="D134" s="458">
        <f t="shared" si="40"/>
        <v>18.693315993788822</v>
      </c>
      <c r="E134" s="458">
        <f t="shared" si="47"/>
        <v>18.850065993788821</v>
      </c>
      <c r="F134" s="335">
        <f t="shared" si="41"/>
        <v>32.198333333333338</v>
      </c>
      <c r="G134" s="335">
        <f t="shared" si="42"/>
        <v>1.1926083130596821</v>
      </c>
      <c r="H134" s="335">
        <f t="shared" si="43"/>
        <v>10.882550856669598</v>
      </c>
      <c r="I134" s="335">
        <f t="shared" si="44"/>
        <v>0.70818242854644142</v>
      </c>
      <c r="J134" s="335">
        <f t="shared" si="45"/>
        <v>0.68885078809476419</v>
      </c>
      <c r="K134" s="335">
        <f t="shared" si="48"/>
        <v>19.401498422335262</v>
      </c>
      <c r="L134" s="335">
        <f t="shared" si="49"/>
        <v>19.538916781883586</v>
      </c>
      <c r="M134" s="476">
        <f t="shared" si="46"/>
        <v>11.139616319044171</v>
      </c>
      <c r="N134" s="476">
        <f t="shared" si="50"/>
        <v>7.5029440442432973</v>
      </c>
      <c r="O134" s="485" t="str">
        <f t="shared" si="51"/>
        <v>NO</v>
      </c>
      <c r="P134" s="488" t="str">
        <f t="shared" si="52"/>
        <v/>
      </c>
      <c r="Q134" s="357"/>
      <c r="R134" s="357"/>
      <c r="S134" s="357"/>
      <c r="T134" s="357"/>
      <c r="U134" s="357"/>
      <c r="V134" s="357"/>
      <c r="W134" s="357"/>
      <c r="X134" s="357"/>
      <c r="Y134" s="357"/>
      <c r="Z134" s="357"/>
      <c r="AA134" s="357"/>
      <c r="AB134" s="357"/>
      <c r="AC134" s="357"/>
      <c r="AD134" s="357"/>
      <c r="AE134" s="357"/>
      <c r="AF134" s="357"/>
      <c r="AG134" s="357"/>
      <c r="AH134" s="357"/>
      <c r="AI134" s="357"/>
      <c r="AJ134" s="357"/>
      <c r="AK134" s="357"/>
      <c r="AL134" s="357"/>
      <c r="AM134" s="357"/>
      <c r="AN134" s="357"/>
      <c r="AO134" s="357"/>
      <c r="AP134" s="357"/>
      <c r="AQ134" s="357"/>
      <c r="AR134" s="357"/>
      <c r="AS134" s="357"/>
      <c r="AT134" s="357"/>
      <c r="AU134" s="357"/>
      <c r="AV134" s="357"/>
      <c r="AW134" s="357"/>
    </row>
    <row r="135" spans="3:49" ht="18" customHeight="1">
      <c r="C135" s="443">
        <v>15.200000000000001</v>
      </c>
      <c r="D135" s="458">
        <f t="shared" si="40"/>
        <v>18.802815993788819</v>
      </c>
      <c r="E135" s="458">
        <f t="shared" si="47"/>
        <v>18.959565993788818</v>
      </c>
      <c r="F135" s="335">
        <f t="shared" si="41"/>
        <v>32.313333333333333</v>
      </c>
      <c r="G135" s="335">
        <f t="shared" si="42"/>
        <v>1.1883639364555394</v>
      </c>
      <c r="H135" s="335">
        <f t="shared" si="43"/>
        <v>10.843820920156796</v>
      </c>
      <c r="I135" s="335">
        <f t="shared" si="44"/>
        <v>0.70303146287332841</v>
      </c>
      <c r="J135" s="335">
        <f t="shared" si="45"/>
        <v>0.68391002689309288</v>
      </c>
      <c r="K135" s="335">
        <f t="shared" si="48"/>
        <v>19.505847456662149</v>
      </c>
      <c r="L135" s="335">
        <f t="shared" si="49"/>
        <v>19.643476020681909</v>
      </c>
      <c r="M135" s="476">
        <f t="shared" si="46"/>
        <v>11.199529640188794</v>
      </c>
      <c r="N135" s="476">
        <f t="shared" si="50"/>
        <v>7.5430947919418534</v>
      </c>
      <c r="O135" s="485" t="str">
        <f t="shared" si="51"/>
        <v>NO</v>
      </c>
      <c r="P135" s="488" t="str">
        <f t="shared" si="52"/>
        <v/>
      </c>
      <c r="Q135" s="357"/>
      <c r="R135" s="357"/>
      <c r="S135" s="357"/>
      <c r="T135" s="357"/>
      <c r="U135" s="357"/>
      <c r="V135" s="357"/>
      <c r="W135" s="357"/>
      <c r="X135" s="357"/>
      <c r="Y135" s="357"/>
      <c r="Z135" s="357"/>
      <c r="AA135" s="357"/>
      <c r="AB135" s="357"/>
      <c r="AC135" s="357"/>
      <c r="AD135" s="357"/>
      <c r="AE135" s="357"/>
      <c r="AF135" s="357"/>
      <c r="AG135" s="357"/>
      <c r="AH135" s="357"/>
      <c r="AI135" s="357"/>
      <c r="AJ135" s="357"/>
      <c r="AK135" s="357"/>
      <c r="AL135" s="357"/>
      <c r="AM135" s="357"/>
      <c r="AN135" s="357"/>
      <c r="AO135" s="357"/>
      <c r="AP135" s="357"/>
      <c r="AQ135" s="357"/>
      <c r="AR135" s="357"/>
      <c r="AS135" s="357"/>
      <c r="AT135" s="357"/>
      <c r="AU135" s="357"/>
      <c r="AV135" s="357"/>
      <c r="AW135" s="357"/>
    </row>
    <row r="136" spans="3:49" ht="18" customHeight="1">
      <c r="C136" s="443">
        <v>15.3</v>
      </c>
      <c r="D136" s="458">
        <f t="shared" si="40"/>
        <v>18.91231599378882</v>
      </c>
      <c r="E136" s="458">
        <f t="shared" si="47"/>
        <v>19.069065993788819</v>
      </c>
      <c r="F136" s="335">
        <f t="shared" si="41"/>
        <v>32.428333333333327</v>
      </c>
      <c r="G136" s="335">
        <f t="shared" si="42"/>
        <v>1.1841496633602304</v>
      </c>
      <c r="H136" s="335">
        <f t="shared" si="43"/>
        <v>10.805365678162103</v>
      </c>
      <c r="I136" s="335">
        <f t="shared" si="44"/>
        <v>0.69793650175848232</v>
      </c>
      <c r="J136" s="335">
        <f t="shared" si="45"/>
        <v>0.67902223341814405</v>
      </c>
      <c r="K136" s="335">
        <f t="shared" si="48"/>
        <v>19.610252495547304</v>
      </c>
      <c r="L136" s="335">
        <f t="shared" si="49"/>
        <v>19.748088227206964</v>
      </c>
      <c r="M136" s="476">
        <f t="shared" si="46"/>
        <v>11.259475117060655</v>
      </c>
      <c r="N136" s="476">
        <f t="shared" si="50"/>
        <v>7.5832658792474748</v>
      </c>
      <c r="O136" s="485" t="str">
        <f t="shared" si="51"/>
        <v>NO</v>
      </c>
      <c r="P136" s="488" t="str">
        <f t="shared" si="52"/>
        <v/>
      </c>
      <c r="Q136" s="357"/>
      <c r="R136" s="357"/>
      <c r="S136" s="357"/>
      <c r="T136" s="357"/>
      <c r="U136" s="357"/>
      <c r="V136" s="357"/>
      <c r="W136" s="357"/>
      <c r="X136" s="357"/>
      <c r="Y136" s="357"/>
      <c r="Z136" s="357"/>
      <c r="AA136" s="357"/>
      <c r="AB136" s="357"/>
      <c r="AC136" s="357"/>
      <c r="AD136" s="357"/>
      <c r="AE136" s="357"/>
      <c r="AF136" s="357"/>
      <c r="AG136" s="357"/>
      <c r="AH136" s="357"/>
      <c r="AI136" s="357"/>
      <c r="AJ136" s="357"/>
      <c r="AK136" s="357"/>
      <c r="AL136" s="357"/>
      <c r="AM136" s="357"/>
      <c r="AN136" s="357"/>
      <c r="AO136" s="357"/>
      <c r="AP136" s="357"/>
      <c r="AQ136" s="357"/>
      <c r="AR136" s="357"/>
      <c r="AS136" s="357"/>
      <c r="AT136" s="357"/>
      <c r="AU136" s="357"/>
      <c r="AV136" s="357"/>
      <c r="AW136" s="357"/>
    </row>
    <row r="137" spans="3:49" ht="18" customHeight="1">
      <c r="C137" s="443">
        <v>15.4</v>
      </c>
      <c r="D137" s="458">
        <f t="shared" si="40"/>
        <v>19.02181599378882</v>
      </c>
      <c r="E137" s="458">
        <f t="shared" si="47"/>
        <v>19.178565993788819</v>
      </c>
      <c r="F137" s="335">
        <f t="shared" si="41"/>
        <v>32.543333333333329</v>
      </c>
      <c r="G137" s="335">
        <f t="shared" si="42"/>
        <v>1.179965174638943</v>
      </c>
      <c r="H137" s="335">
        <f t="shared" si="43"/>
        <v>10.767182218580354</v>
      </c>
      <c r="I137" s="335">
        <f t="shared" si="44"/>
        <v>0.69289673610298708</v>
      </c>
      <c r="J137" s="335">
        <f t="shared" si="45"/>
        <v>0.67418665321991811</v>
      </c>
      <c r="K137" s="335">
        <f t="shared" si="48"/>
        <v>19.714712729891808</v>
      </c>
      <c r="L137" s="335">
        <f t="shared" si="49"/>
        <v>19.852752647008739</v>
      </c>
      <c r="M137" s="476">
        <f t="shared" si="46"/>
        <v>11.319452285105346</v>
      </c>
      <c r="N137" s="476">
        <f t="shared" si="50"/>
        <v>7.623457016451356</v>
      </c>
      <c r="O137" s="485" t="str">
        <f t="shared" si="51"/>
        <v>NO</v>
      </c>
      <c r="P137" s="488" t="str">
        <f t="shared" si="52"/>
        <v/>
      </c>
      <c r="Q137" s="357"/>
      <c r="R137" s="357"/>
      <c r="S137" s="357"/>
      <c r="T137" s="357"/>
      <c r="U137" s="357"/>
      <c r="V137" s="357"/>
      <c r="W137" s="357"/>
      <c r="X137" s="357"/>
      <c r="Y137" s="357"/>
      <c r="Z137" s="357"/>
      <c r="AA137" s="357"/>
      <c r="AB137" s="357"/>
      <c r="AC137" s="357"/>
      <c r="AD137" s="357"/>
      <c r="AE137" s="357"/>
      <c r="AF137" s="357"/>
      <c r="AG137" s="357"/>
      <c r="AH137" s="357"/>
      <c r="AI137" s="357"/>
      <c r="AJ137" s="357"/>
      <c r="AK137" s="357"/>
      <c r="AL137" s="357"/>
      <c r="AM137" s="357"/>
      <c r="AN137" s="357"/>
      <c r="AO137" s="357"/>
      <c r="AP137" s="357"/>
      <c r="AQ137" s="357"/>
      <c r="AR137" s="357"/>
      <c r="AS137" s="357"/>
      <c r="AT137" s="357"/>
      <c r="AU137" s="357"/>
      <c r="AV137" s="357"/>
      <c r="AW137" s="357"/>
    </row>
    <row r="138" spans="3:49" ht="18" customHeight="1">
      <c r="C138" s="443">
        <v>15.5</v>
      </c>
      <c r="D138" s="458">
        <f t="shared" si="40"/>
        <v>19.131315993788817</v>
      </c>
      <c r="E138" s="458">
        <f t="shared" si="47"/>
        <v>19.288065993788816</v>
      </c>
      <c r="F138" s="335">
        <f t="shared" si="41"/>
        <v>32.658333333333331</v>
      </c>
      <c r="G138" s="335">
        <f t="shared" si="42"/>
        <v>1.175810155651952</v>
      </c>
      <c r="H138" s="335">
        <f t="shared" si="43"/>
        <v>10.729267670324063</v>
      </c>
      <c r="I138" s="335">
        <f t="shared" si="44"/>
        <v>0.68791137136920466</v>
      </c>
      <c r="J138" s="335">
        <f t="shared" si="45"/>
        <v>0.66940254523371034</v>
      </c>
      <c r="K138" s="335">
        <f t="shared" si="48"/>
        <v>19.819227365158021</v>
      </c>
      <c r="L138" s="335">
        <f t="shared" si="49"/>
        <v>19.957468539022525</v>
      </c>
      <c r="M138" s="476">
        <f t="shared" si="46"/>
        <v>11.379460688129008</v>
      </c>
      <c r="N138" s="476">
        <f t="shared" si="50"/>
        <v>7.6636679189846504</v>
      </c>
      <c r="O138" s="485" t="str">
        <f t="shared" si="51"/>
        <v>NO</v>
      </c>
      <c r="P138" s="488" t="str">
        <f t="shared" si="52"/>
        <v/>
      </c>
      <c r="Q138" s="357"/>
      <c r="R138" s="357"/>
      <c r="S138" s="357"/>
      <c r="T138" s="357"/>
      <c r="U138" s="357"/>
      <c r="V138" s="357"/>
      <c r="W138" s="357"/>
      <c r="X138" s="357"/>
      <c r="Y138" s="357"/>
      <c r="Z138" s="357"/>
      <c r="AA138" s="357"/>
      <c r="AB138" s="357"/>
      <c r="AC138" s="357"/>
      <c r="AD138" s="357"/>
      <c r="AE138" s="357"/>
      <c r="AF138" s="357"/>
      <c r="AG138" s="357"/>
      <c r="AH138" s="357"/>
      <c r="AI138" s="357"/>
      <c r="AJ138" s="357"/>
      <c r="AK138" s="357"/>
      <c r="AL138" s="357"/>
      <c r="AM138" s="357"/>
      <c r="AN138" s="357"/>
      <c r="AO138" s="357"/>
      <c r="AP138" s="357"/>
      <c r="AQ138" s="357"/>
      <c r="AR138" s="357"/>
      <c r="AS138" s="357"/>
      <c r="AT138" s="357"/>
      <c r="AU138" s="357"/>
      <c r="AV138" s="357"/>
      <c r="AW138" s="357"/>
    </row>
    <row r="139" spans="3:49" ht="18" customHeight="1">
      <c r="C139" s="443">
        <v>15.600000000000001</v>
      </c>
      <c r="D139" s="458">
        <f t="shared" si="40"/>
        <v>19.240815993788821</v>
      </c>
      <c r="E139" s="458">
        <f t="shared" si="47"/>
        <v>19.39756599378882</v>
      </c>
      <c r="F139" s="335">
        <f t="shared" si="41"/>
        <v>32.773333333333333</v>
      </c>
      <c r="G139" s="335">
        <f t="shared" si="42"/>
        <v>1.1716842961757525</v>
      </c>
      <c r="H139" s="335">
        <f t="shared" si="43"/>
        <v>10.691619202603741</v>
      </c>
      <c r="I139" s="335">
        <f t="shared" si="44"/>
        <v>0.68297962726737671</v>
      </c>
      <c r="J139" s="335">
        <f t="shared" si="45"/>
        <v>0.66466918149613341</v>
      </c>
      <c r="K139" s="335">
        <f t="shared" si="48"/>
        <v>19.923795621056197</v>
      </c>
      <c r="L139" s="335">
        <f t="shared" si="49"/>
        <v>20.062235175284954</v>
      </c>
      <c r="M139" s="476">
        <f t="shared" si="46"/>
        <v>11.439499878118392</v>
      </c>
      <c r="N139" s="476">
        <f t="shared" si="50"/>
        <v>7.7038983073094229</v>
      </c>
      <c r="O139" s="485" t="str">
        <f t="shared" si="51"/>
        <v>NO</v>
      </c>
      <c r="P139" s="488" t="str">
        <f t="shared" si="52"/>
        <v/>
      </c>
      <c r="Q139" s="357"/>
      <c r="R139" s="357"/>
      <c r="S139" s="357"/>
      <c r="T139" s="357"/>
      <c r="U139" s="357"/>
      <c r="V139" s="357"/>
      <c r="W139" s="357"/>
      <c r="X139" s="357"/>
      <c r="Y139" s="357"/>
      <c r="Z139" s="357"/>
      <c r="AA139" s="357"/>
      <c r="AB139" s="357"/>
      <c r="AC139" s="357"/>
      <c r="AD139" s="357"/>
      <c r="AE139" s="357"/>
      <c r="AF139" s="357"/>
      <c r="AG139" s="357"/>
      <c r="AH139" s="357"/>
      <c r="AI139" s="357"/>
      <c r="AJ139" s="357"/>
      <c r="AK139" s="357"/>
      <c r="AL139" s="357"/>
      <c r="AM139" s="357"/>
      <c r="AN139" s="357"/>
      <c r="AO139" s="357"/>
      <c r="AP139" s="357"/>
      <c r="AQ139" s="357"/>
      <c r="AR139" s="357"/>
      <c r="AS139" s="357"/>
      <c r="AT139" s="357"/>
      <c r="AU139" s="357"/>
      <c r="AV139" s="357"/>
      <c r="AW139" s="357"/>
    </row>
    <row r="140" spans="3:49" ht="18" customHeight="1">
      <c r="C140" s="443">
        <v>15.700000000000001</v>
      </c>
      <c r="D140" s="458">
        <f t="shared" si="40"/>
        <v>19.350315993788822</v>
      </c>
      <c r="E140" s="458">
        <f t="shared" si="47"/>
        <v>19.507065993788821</v>
      </c>
      <c r="F140" s="335">
        <f t="shared" si="41"/>
        <v>32.888333333333335</v>
      </c>
      <c r="G140" s="335">
        <f t="shared" si="42"/>
        <v>1.16758729032585</v>
      </c>
      <c r="H140" s="335">
        <f t="shared" si="43"/>
        <v>10.654234024223381</v>
      </c>
      <c r="I140" s="335">
        <f t="shared" si="44"/>
        <v>0.67810073745007393</v>
      </c>
      <c r="J140" s="335">
        <f t="shared" si="45"/>
        <v>0.65998584686814854</v>
      </c>
      <c r="K140" s="335">
        <f t="shared" si="48"/>
        <v>20.028416731238895</v>
      </c>
      <c r="L140" s="335">
        <f t="shared" si="49"/>
        <v>20.167051840656971</v>
      </c>
      <c r="M140" s="476">
        <f t="shared" si="46"/>
        <v>11.499569415065396</v>
      </c>
      <c r="N140" s="476">
        <f t="shared" si="50"/>
        <v>7.7441479068122767</v>
      </c>
      <c r="O140" s="485" t="str">
        <f t="shared" si="51"/>
        <v>NO</v>
      </c>
      <c r="P140" s="488" t="str">
        <f t="shared" si="52"/>
        <v/>
      </c>
      <c r="Q140" s="357"/>
      <c r="R140" s="357"/>
      <c r="S140" s="357"/>
      <c r="T140" s="357"/>
      <c r="U140" s="357"/>
      <c r="V140" s="357"/>
      <c r="W140" s="357"/>
      <c r="X140" s="357"/>
      <c r="Y140" s="357"/>
      <c r="Z140" s="357"/>
      <c r="AA140" s="357"/>
      <c r="AB140" s="357"/>
      <c r="AC140" s="357"/>
      <c r="AD140" s="357"/>
      <c r="AE140" s="357"/>
      <c r="AF140" s="357"/>
      <c r="AG140" s="357"/>
      <c r="AH140" s="357"/>
      <c r="AI140" s="357"/>
      <c r="AJ140" s="357"/>
      <c r="AK140" s="357"/>
      <c r="AL140" s="357"/>
      <c r="AM140" s="357"/>
      <c r="AN140" s="357"/>
      <c r="AO140" s="357"/>
      <c r="AP140" s="357"/>
      <c r="AQ140" s="357"/>
      <c r="AR140" s="357"/>
      <c r="AS140" s="357"/>
      <c r="AT140" s="357"/>
      <c r="AU140" s="357"/>
      <c r="AV140" s="357"/>
      <c r="AW140" s="357"/>
    </row>
    <row r="141" spans="3:49" ht="18" customHeight="1">
      <c r="C141" s="443">
        <v>15.8</v>
      </c>
      <c r="D141" s="458">
        <f t="shared" si="40"/>
        <v>19.459815993788819</v>
      </c>
      <c r="E141" s="458">
        <f t="shared" si="47"/>
        <v>19.616565993788818</v>
      </c>
      <c r="F141" s="335">
        <f t="shared" si="41"/>
        <v>33.00333333333333</v>
      </c>
      <c r="G141" s="335">
        <f t="shared" si="42"/>
        <v>1.1635188364811635</v>
      </c>
      <c r="H141" s="335">
        <f t="shared" si="43"/>
        <v>10.617109382890616</v>
      </c>
      <c r="I141" s="335">
        <f t="shared" si="44"/>
        <v>0.67327394921425965</v>
      </c>
      <c r="J141" s="335">
        <f t="shared" si="45"/>
        <v>0.65535183876490055</v>
      </c>
      <c r="K141" s="335">
        <f t="shared" si="48"/>
        <v>20.133089943003078</v>
      </c>
      <c r="L141" s="335">
        <f t="shared" si="49"/>
        <v>20.271917832553719</v>
      </c>
      <c r="M141" s="476">
        <f t="shared" si="46"/>
        <v>11.559668866796027</v>
      </c>
      <c r="N141" s="476">
        <f t="shared" si="50"/>
        <v>7.7844164477006288</v>
      </c>
      <c r="O141" s="485" t="str">
        <f t="shared" si="51"/>
        <v>NO</v>
      </c>
      <c r="P141" s="488" t="str">
        <f t="shared" si="52"/>
        <v/>
      </c>
      <c r="Q141" s="357"/>
      <c r="R141" s="357"/>
      <c r="S141" s="357"/>
      <c r="T141" s="357"/>
      <c r="U141" s="357"/>
      <c r="V141" s="357"/>
      <c r="W141" s="357"/>
      <c r="X141" s="357"/>
      <c r="Y141" s="357"/>
      <c r="Z141" s="357"/>
      <c r="AA141" s="357"/>
      <c r="AB141" s="357"/>
      <c r="AC141" s="357"/>
      <c r="AD141" s="357"/>
      <c r="AE141" s="357"/>
      <c r="AF141" s="357"/>
      <c r="AG141" s="357"/>
      <c r="AH141" s="357"/>
      <c r="AI141" s="357"/>
      <c r="AJ141" s="357"/>
      <c r="AK141" s="357"/>
      <c r="AL141" s="357"/>
      <c r="AM141" s="357"/>
      <c r="AN141" s="357"/>
      <c r="AO141" s="357"/>
      <c r="AP141" s="357"/>
      <c r="AQ141" s="357"/>
      <c r="AR141" s="357"/>
      <c r="AS141" s="357"/>
      <c r="AT141" s="357"/>
      <c r="AU141" s="357"/>
      <c r="AV141" s="357"/>
      <c r="AW141" s="357"/>
    </row>
    <row r="142" spans="3:49" ht="18" customHeight="1">
      <c r="C142" s="443">
        <v>15.9</v>
      </c>
      <c r="D142" s="458">
        <f t="shared" si="40"/>
        <v>19.56931599378882</v>
      </c>
      <c r="E142" s="458">
        <f t="shared" si="47"/>
        <v>19.726065993788819</v>
      </c>
      <c r="F142" s="335">
        <f t="shared" si="41"/>
        <v>33.118333333333332</v>
      </c>
      <c r="G142" s="335">
        <f t="shared" si="42"/>
        <v>1.1594786372100045</v>
      </c>
      <c r="H142" s="335">
        <f t="shared" si="43"/>
        <v>10.580242564541292</v>
      </c>
      <c r="I142" s="335">
        <f t="shared" si="44"/>
        <v>0.66849852321075975</v>
      </c>
      <c r="J142" s="335">
        <f t="shared" si="45"/>
        <v>0.65076646689217188</v>
      </c>
      <c r="K142" s="335">
        <f t="shared" si="48"/>
        <v>20.237814516999581</v>
      </c>
      <c r="L142" s="335">
        <f t="shared" si="49"/>
        <v>20.376832460680991</v>
      </c>
      <c r="M142" s="476">
        <f t="shared" si="46"/>
        <v>11.619797808803588</v>
      </c>
      <c r="N142" s="476">
        <f t="shared" si="50"/>
        <v>7.8247036649015005</v>
      </c>
      <c r="O142" s="485" t="str">
        <f t="shared" si="51"/>
        <v>NO</v>
      </c>
      <c r="P142" s="488" t="str">
        <f t="shared" si="52"/>
        <v/>
      </c>
      <c r="Q142" s="357"/>
      <c r="R142" s="357"/>
      <c r="S142" s="357"/>
      <c r="T142" s="357"/>
      <c r="U142" s="357"/>
      <c r="V142" s="357"/>
      <c r="W142" s="357"/>
      <c r="X142" s="357"/>
      <c r="Y142" s="357"/>
      <c r="Z142" s="357"/>
      <c r="AA142" s="357"/>
      <c r="AB142" s="357"/>
      <c r="AC142" s="357"/>
      <c r="AD142" s="357"/>
      <c r="AE142" s="357"/>
      <c r="AF142" s="357"/>
      <c r="AG142" s="357"/>
      <c r="AH142" s="357"/>
      <c r="AI142" s="357"/>
      <c r="AJ142" s="357"/>
      <c r="AK142" s="357"/>
      <c r="AL142" s="357"/>
      <c r="AM142" s="357"/>
      <c r="AN142" s="357"/>
      <c r="AO142" s="357"/>
      <c r="AP142" s="357"/>
      <c r="AQ142" s="357"/>
      <c r="AR142" s="357"/>
      <c r="AS142" s="357"/>
      <c r="AT142" s="357"/>
      <c r="AU142" s="357"/>
      <c r="AV142" s="357"/>
      <c r="AW142" s="357"/>
    </row>
    <row r="143" spans="3:49" ht="18" customHeight="1" thickBot="1">
      <c r="C143" s="444">
        <v>16</v>
      </c>
      <c r="D143" s="459">
        <f t="shared" si="40"/>
        <v>19.678815993788817</v>
      </c>
      <c r="E143" s="459">
        <f t="shared" si="47"/>
        <v>19.835565993788816</v>
      </c>
      <c r="F143" s="460">
        <f t="shared" si="41"/>
        <v>33.233333333333334</v>
      </c>
      <c r="G143" s="460">
        <f t="shared" si="42"/>
        <v>1.1554663991975926</v>
      </c>
      <c r="H143" s="460">
        <f t="shared" si="43"/>
        <v>10.543630892678033</v>
      </c>
      <c r="I143" s="460">
        <f t="shared" si="44"/>
        <v>0.66377373316092281</v>
      </c>
      <c r="J143" s="460">
        <f t="shared" si="45"/>
        <v>0.64622905298926858</v>
      </c>
      <c r="K143" s="460">
        <f t="shared" si="48"/>
        <v>20.34258972694974</v>
      </c>
      <c r="L143" s="460">
        <f t="shared" si="49"/>
        <v>20.481795046778085</v>
      </c>
      <c r="M143" s="477">
        <f t="shared" si="46"/>
        <v>11.679955824085976</v>
      </c>
      <c r="N143" s="477">
        <f t="shared" si="50"/>
        <v>7.8650092979627848</v>
      </c>
      <c r="O143" s="486" t="str">
        <f t="shared" si="51"/>
        <v>NO</v>
      </c>
      <c r="P143" s="489" t="str">
        <f t="shared" si="52"/>
        <v/>
      </c>
      <c r="Q143" s="357"/>
      <c r="R143" s="357"/>
      <c r="S143" s="357"/>
      <c r="T143" s="357"/>
      <c r="U143" s="357"/>
      <c r="V143" s="357"/>
      <c r="W143" s="357"/>
      <c r="X143" s="357"/>
      <c r="Y143" s="357"/>
      <c r="Z143" s="357"/>
      <c r="AA143" s="357"/>
      <c r="AB143" s="357"/>
      <c r="AC143" s="357"/>
      <c r="AD143" s="357"/>
      <c r="AE143" s="357"/>
      <c r="AF143" s="357"/>
      <c r="AG143" s="357"/>
      <c r="AH143" s="357"/>
      <c r="AI143" s="357"/>
      <c r="AJ143" s="357"/>
      <c r="AK143" s="357"/>
      <c r="AL143" s="357"/>
      <c r="AM143" s="357"/>
      <c r="AN143" s="357"/>
      <c r="AO143" s="357"/>
      <c r="AP143" s="357"/>
      <c r="AQ143" s="357"/>
      <c r="AR143" s="357"/>
      <c r="AS143" s="357"/>
      <c r="AT143" s="357"/>
      <c r="AU143" s="357"/>
      <c r="AV143" s="357"/>
      <c r="AW143" s="357"/>
    </row>
  </sheetData>
  <sheetProtection algorithmName="SHA-512" hashValue="MrF17QHTARHhT3LOaaOHkWrrUrniwwCFKShihBH70P9EVsbk4BjEy8fohoeVtHhLOoE2RwKPdgbsJ3G9iynlcA==" saltValue="qvDDhjfDvAyrf8EmOEMhvQ==" spinCount="100000" sheet="1" objects="1" scenarios="1" selectLockedCells="1" selectUnlockedCells="1"/>
  <mergeCells count="104">
    <mergeCell ref="BH69:BL69"/>
    <mergeCell ref="BM69:BN69"/>
    <mergeCell ref="AB22:AF22"/>
    <mergeCell ref="AG22:AH22"/>
    <mergeCell ref="AB23:AF23"/>
    <mergeCell ref="AG23:AH23"/>
    <mergeCell ref="Q28:Q29"/>
    <mergeCell ref="AF35:AG35"/>
    <mergeCell ref="AH45:AI45"/>
    <mergeCell ref="Q26:S26"/>
    <mergeCell ref="T26:U26"/>
    <mergeCell ref="R34:U34"/>
    <mergeCell ref="R35:U35"/>
    <mergeCell ref="R39:U39"/>
    <mergeCell ref="R40:U40"/>
    <mergeCell ref="AN36:AO36"/>
    <mergeCell ref="AL28:AL29"/>
    <mergeCell ref="AI28:AK28"/>
    <mergeCell ref="AI29:AK29"/>
    <mergeCell ref="R28:AH29"/>
    <mergeCell ref="AN53:AO53"/>
    <mergeCell ref="AF40:AG40"/>
    <mergeCell ref="BD59:BE59"/>
    <mergeCell ref="BD60:BE60"/>
    <mergeCell ref="AE70:AW70"/>
    <mergeCell ref="X19:Y19"/>
    <mergeCell ref="R50:AL51"/>
    <mergeCell ref="AU25:AV25"/>
    <mergeCell ref="AH59:AI59"/>
    <mergeCell ref="AH60:AI60"/>
    <mergeCell ref="R31:AM32"/>
    <mergeCell ref="AS57:AT57"/>
    <mergeCell ref="AQ57:AR57"/>
    <mergeCell ref="AH47:AJ47"/>
    <mergeCell ref="AH48:AJ48"/>
    <mergeCell ref="AP48:AP49"/>
    <mergeCell ref="AT48:AT49"/>
    <mergeCell ref="AJ53:AK53"/>
    <mergeCell ref="AJ54:AK54"/>
    <mergeCell ref="R56:AL57"/>
    <mergeCell ref="Q25:S25"/>
    <mergeCell ref="T25:U25"/>
    <mergeCell ref="Q24:S24"/>
    <mergeCell ref="T24:U24"/>
    <mergeCell ref="Q19:W19"/>
    <mergeCell ref="AA17:AB17"/>
    <mergeCell ref="Q47:Q48"/>
    <mergeCell ref="AH40:AI40"/>
    <mergeCell ref="AB19:AI19"/>
    <mergeCell ref="AG20:AH20"/>
    <mergeCell ref="AB21:AF21"/>
    <mergeCell ref="AB20:AF20"/>
    <mergeCell ref="AG21:AH21"/>
    <mergeCell ref="AH35:AI35"/>
    <mergeCell ref="Q20:S20"/>
    <mergeCell ref="T20:U20"/>
    <mergeCell ref="Y71:Z71"/>
    <mergeCell ref="AA71:AB71"/>
    <mergeCell ref="BD69:BE69"/>
    <mergeCell ref="BD70:BE70"/>
    <mergeCell ref="AL69:AM69"/>
    <mergeCell ref="AP69:AT69"/>
    <mergeCell ref="AA69:AB69"/>
    <mergeCell ref="AA70:AB70"/>
    <mergeCell ref="A13:B13"/>
    <mergeCell ref="T21:U21"/>
    <mergeCell ref="AM28:AN29"/>
    <mergeCell ref="AO28:AO29"/>
    <mergeCell ref="AR48:AS49"/>
    <mergeCell ref="AU48:AU49"/>
    <mergeCell ref="AV48:AW49"/>
    <mergeCell ref="AP31:AP32"/>
    <mergeCell ref="AT31:AT32"/>
    <mergeCell ref="AQ31:AQ32"/>
    <mergeCell ref="AR31:AS32"/>
    <mergeCell ref="AU31:AU32"/>
    <mergeCell ref="AV31:AW32"/>
    <mergeCell ref="AQ48:AQ49"/>
    <mergeCell ref="AS40:AT40"/>
    <mergeCell ref="Q23:S23"/>
    <mergeCell ref="S12:T12"/>
    <mergeCell ref="AE24:AF24"/>
    <mergeCell ref="AG24:AH24"/>
    <mergeCell ref="AE69:AK69"/>
    <mergeCell ref="AB64:AC64"/>
    <mergeCell ref="AB65:AC65"/>
    <mergeCell ref="BD64:BE64"/>
    <mergeCell ref="BD65:BE65"/>
    <mergeCell ref="AN47:AN48"/>
    <mergeCell ref="AE25:AF25"/>
    <mergeCell ref="AE26:AF26"/>
    <mergeCell ref="T22:U22"/>
    <mergeCell ref="T23:U23"/>
    <mergeCell ref="Q21:S21"/>
    <mergeCell ref="Q22:S22"/>
    <mergeCell ref="AT21:AU21"/>
    <mergeCell ref="AG25:AH25"/>
    <mergeCell ref="AG26:AH26"/>
    <mergeCell ref="R47:AG48"/>
    <mergeCell ref="AO50:AP50"/>
    <mergeCell ref="AS50:AT50"/>
    <mergeCell ref="AK47:AK48"/>
    <mergeCell ref="AL47:AM48"/>
    <mergeCell ref="BD40:BE40"/>
  </mergeCells>
  <printOptions horizontalCentered="1"/>
  <pageMargins left="0.7" right="0.7" top="0.75" bottom="0.75" header="0.3" footer="0.3"/>
  <pageSetup scale="79" fitToHeight="2" orientation="portrait" r:id="rId1"/>
  <rowBreaks count="1" manualBreakCount="1">
    <brk id="46" min="16" max="48" man="1"/>
  </rowBreaks>
  <ignoredErrors>
    <ignoredError sqref="T23:T24" formula="1"/>
    <ignoredError sqref="Q28 Q31 Q37 Q42 Q47 Q50 Q56:AL57 Q62 Q6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1" r:id="rId4" name="Drop Down 3">
              <controlPr defaultSize="0" autoLine="0" autoPict="0">
                <anchor mov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5" name="Drop Down 4">
              <controlPr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6" name="Drop Down 5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7" name="Drop Down 7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2</xdr:col>
                    <xdr:colOff>0</xdr:colOff>
                    <xdr:row>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G280"/>
  <sheetViews>
    <sheetView workbookViewId="0">
      <selection activeCell="C2" sqref="C2"/>
    </sheetView>
  </sheetViews>
  <sheetFormatPr defaultColWidth="0" defaultRowHeight="15" customHeight="1" zeroHeight="1"/>
  <cols>
    <col min="1" max="1" width="14.42578125" customWidth="1"/>
    <col min="2" max="3" width="10.7109375" customWidth="1"/>
    <col min="4" max="4" width="7.7109375" customWidth="1"/>
    <col min="5" max="80" width="3.140625" customWidth="1"/>
    <col min="81" max="85" width="9.140625" customWidth="1"/>
    <col min="86" max="16384" width="9.140625" hidden="1"/>
  </cols>
  <sheetData>
    <row r="1" spans="1:85" ht="16.5" customHeight="1">
      <c r="A1" s="295" t="s">
        <v>191</v>
      </c>
      <c r="B1" s="92"/>
      <c r="C1" s="92"/>
      <c r="D1" s="92"/>
      <c r="E1" s="102"/>
      <c r="F1" s="11"/>
      <c r="G1" s="59" t="s">
        <v>0</v>
      </c>
      <c r="H1" s="11"/>
      <c r="I1" s="11"/>
      <c r="J1" s="11"/>
      <c r="K1" s="89"/>
      <c r="L1" s="3"/>
      <c r="M1" s="248"/>
      <c r="N1" s="3"/>
      <c r="O1" s="3"/>
      <c r="P1" s="3"/>
      <c r="Q1" s="3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94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</row>
    <row r="2" spans="1:85" ht="16.5" customHeight="1">
      <c r="A2" s="291" t="s">
        <v>209</v>
      </c>
      <c r="B2" s="92"/>
      <c r="C2" s="286">
        <v>26625</v>
      </c>
      <c r="D2" s="92"/>
      <c r="E2" s="102"/>
      <c r="F2" s="6"/>
      <c r="G2" s="60" t="s">
        <v>1</v>
      </c>
      <c r="H2" s="24"/>
      <c r="I2" s="259"/>
      <c r="J2" s="259"/>
      <c r="K2" s="25"/>
      <c r="L2" s="248"/>
      <c r="M2" s="248"/>
      <c r="N2" s="248"/>
      <c r="O2" s="2"/>
      <c r="P2" s="2"/>
      <c r="Q2" s="2"/>
      <c r="R2" s="248"/>
      <c r="S2" s="248"/>
      <c r="T2" s="248"/>
      <c r="U2" s="248"/>
      <c r="V2" s="248"/>
      <c r="W2" s="29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94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</row>
    <row r="3" spans="1:85" ht="16.5" customHeight="1">
      <c r="A3" s="92"/>
      <c r="B3" s="92"/>
      <c r="C3" s="92"/>
      <c r="D3" s="92"/>
      <c r="E3" s="103"/>
      <c r="F3" s="260"/>
      <c r="G3" s="260"/>
      <c r="H3" s="259"/>
      <c r="I3" s="259"/>
      <c r="J3" s="259"/>
      <c r="K3" s="28"/>
      <c r="L3" s="248"/>
      <c r="M3" s="248"/>
      <c r="N3" s="248"/>
      <c r="O3" s="28"/>
      <c r="P3" s="28"/>
      <c r="Q3" s="28"/>
      <c r="R3" s="248"/>
      <c r="S3" s="248"/>
      <c r="T3" s="248"/>
      <c r="U3" s="248"/>
      <c r="V3" s="248"/>
      <c r="W3" s="29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94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</row>
    <row r="4" spans="1:85" ht="16.5" customHeight="1">
      <c r="A4" s="297" t="s">
        <v>190</v>
      </c>
      <c r="B4" s="92"/>
      <c r="C4" s="92"/>
      <c r="D4" s="92"/>
      <c r="E4" s="104"/>
      <c r="F4" s="260"/>
      <c r="G4" s="260"/>
      <c r="H4" s="55"/>
      <c r="I4" s="55"/>
      <c r="J4" s="56"/>
      <c r="K4" s="28"/>
      <c r="L4" s="28"/>
      <c r="M4" s="47" t="s">
        <v>2</v>
      </c>
      <c r="N4" s="28"/>
      <c r="O4" s="28"/>
      <c r="P4" s="28"/>
      <c r="Q4" s="28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94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</row>
    <row r="5" spans="1:85" ht="16.5" customHeight="1">
      <c r="A5" s="668" t="s">
        <v>22</v>
      </c>
      <c r="B5" s="668"/>
      <c r="C5" s="38">
        <v>4</v>
      </c>
      <c r="D5" s="92"/>
      <c r="E5" s="96"/>
      <c r="F5" s="260"/>
      <c r="G5" s="260"/>
      <c r="H5" s="261"/>
      <c r="I5" s="261"/>
      <c r="J5" s="261"/>
      <c r="K5" s="262"/>
      <c r="L5" s="263"/>
      <c r="M5" s="263"/>
      <c r="N5" s="263"/>
      <c r="O5" s="263"/>
      <c r="P5" s="263"/>
      <c r="Q5" s="264"/>
      <c r="R5" s="3"/>
      <c r="S5" s="30" t="s">
        <v>198</v>
      </c>
      <c r="T5" s="31"/>
      <c r="U5" s="31"/>
      <c r="V5" s="31"/>
      <c r="W5" s="31"/>
      <c r="X5" s="31"/>
      <c r="Y5" s="31"/>
      <c r="Z5" s="31"/>
      <c r="AA5" s="3"/>
      <c r="AB5" s="3"/>
      <c r="AC5" s="30" t="s">
        <v>3</v>
      </c>
      <c r="AD5" s="31"/>
      <c r="AE5" s="31"/>
      <c r="AF5" s="31"/>
      <c r="AG5" s="31"/>
      <c r="AH5" s="31"/>
      <c r="AI5" s="31"/>
      <c r="AJ5" s="31"/>
      <c r="AK5" s="31"/>
      <c r="AL5" s="3"/>
      <c r="AM5" s="3"/>
      <c r="AN5" s="3"/>
      <c r="AO5" s="36" t="s">
        <v>4</v>
      </c>
      <c r="AP5" s="35"/>
      <c r="AQ5" s="35"/>
      <c r="AR5" s="716"/>
      <c r="AS5" s="716"/>
      <c r="AT5" s="716"/>
      <c r="AU5" s="716"/>
      <c r="AV5" s="716"/>
      <c r="AW5" s="716"/>
      <c r="AX5" s="716"/>
      <c r="AY5" s="716"/>
      <c r="AZ5" s="716"/>
      <c r="BA5" s="716"/>
      <c r="BB5" s="716"/>
      <c r="BC5" s="716"/>
      <c r="BD5" s="28"/>
      <c r="BE5" s="94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</row>
    <row r="6" spans="1:85" ht="16.5" customHeight="1">
      <c r="A6" s="92"/>
      <c r="B6" s="92"/>
      <c r="C6" s="92"/>
      <c r="D6" s="92"/>
      <c r="E6" s="96"/>
      <c r="F6" s="91"/>
      <c r="G6" s="22"/>
      <c r="H6" s="22"/>
      <c r="I6" s="22"/>
      <c r="J6" s="265"/>
      <c r="K6" s="266"/>
      <c r="L6" s="267"/>
      <c r="M6" s="263"/>
      <c r="N6" s="263"/>
      <c r="O6" s="263"/>
      <c r="P6" s="263"/>
      <c r="Q6" s="264"/>
      <c r="R6" s="3"/>
      <c r="S6" s="242" t="s">
        <v>5</v>
      </c>
      <c r="T6" s="242"/>
      <c r="U6" s="242"/>
      <c r="V6" s="242"/>
      <c r="W6" s="242"/>
      <c r="X6" s="717">
        <f>C8</f>
        <v>10</v>
      </c>
      <c r="Y6" s="717"/>
      <c r="Z6" s="242"/>
      <c r="AA6" s="3"/>
      <c r="AB6" s="3"/>
      <c r="AC6" s="242" t="s">
        <v>6</v>
      </c>
      <c r="AD6" s="242"/>
      <c r="AE6" s="242"/>
      <c r="AF6" s="242"/>
      <c r="AG6" s="242"/>
      <c r="AH6" s="242"/>
      <c r="AI6" s="717">
        <f>C13</f>
        <v>15</v>
      </c>
      <c r="AJ6" s="717"/>
      <c r="AK6" s="242"/>
      <c r="AL6" s="3"/>
      <c r="AM6" s="3"/>
      <c r="AN6" s="3"/>
      <c r="AO6" s="35"/>
      <c r="AP6" s="35"/>
      <c r="AQ6" s="35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94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</row>
    <row r="7" spans="1:85" ht="16.5" customHeight="1">
      <c r="A7" s="298" t="s">
        <v>192</v>
      </c>
      <c r="B7" s="92"/>
      <c r="C7" s="92"/>
      <c r="D7" s="92"/>
      <c r="E7" s="96"/>
      <c r="F7" s="11"/>
      <c r="G7" s="11"/>
      <c r="H7" s="11"/>
      <c r="I7" s="11"/>
      <c r="J7" s="5"/>
      <c r="K7" s="5"/>
      <c r="L7" s="5"/>
      <c r="M7" s="5"/>
      <c r="N7" s="5"/>
      <c r="O7" s="5"/>
      <c r="P7" s="5"/>
      <c r="Q7" s="6"/>
      <c r="R7" s="3"/>
      <c r="S7" s="242" t="s">
        <v>7</v>
      </c>
      <c r="T7" s="242"/>
      <c r="U7" s="242"/>
      <c r="V7" s="242"/>
      <c r="W7" s="242"/>
      <c r="X7" s="718">
        <f>VLOOKUP($C$5,Data!B4:N7,8)</f>
        <v>9</v>
      </c>
      <c r="Y7" s="717"/>
      <c r="Z7" s="29" t="s">
        <v>8</v>
      </c>
      <c r="AA7" s="3"/>
      <c r="AB7" s="3"/>
      <c r="AC7" s="242" t="s">
        <v>9</v>
      </c>
      <c r="AD7" s="242"/>
      <c r="AE7" s="242"/>
      <c r="AF7" s="242"/>
      <c r="AG7" s="242"/>
      <c r="AH7" s="242"/>
      <c r="AI7" s="718">
        <f>VLOOKUP($C$5,Data!B4:N7,4)</f>
        <v>48.3</v>
      </c>
      <c r="AJ7" s="718"/>
      <c r="AK7" s="242" t="s">
        <v>8</v>
      </c>
      <c r="AL7" s="3"/>
      <c r="AM7" s="3"/>
      <c r="AN7" s="3"/>
      <c r="AO7" s="37" t="s">
        <v>10</v>
      </c>
      <c r="AP7" s="3"/>
      <c r="AQ7" s="3"/>
      <c r="AR7" s="716"/>
      <c r="AS7" s="716"/>
      <c r="AT7" s="716"/>
      <c r="AU7" s="716"/>
      <c r="AV7" s="716"/>
      <c r="AW7" s="716"/>
      <c r="AX7" s="716"/>
      <c r="AY7" s="716"/>
      <c r="AZ7" s="716"/>
      <c r="BA7" s="716"/>
      <c r="BB7" s="716"/>
      <c r="BC7" s="716"/>
      <c r="BD7" s="3"/>
      <c r="BE7" s="94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</row>
    <row r="8" spans="1:85" ht="16.5" customHeight="1">
      <c r="A8" s="668" t="s">
        <v>5</v>
      </c>
      <c r="B8" s="669"/>
      <c r="C8" s="38">
        <v>10</v>
      </c>
      <c r="D8" s="268"/>
      <c r="E8" s="3"/>
      <c r="F8" s="11"/>
      <c r="G8" s="11"/>
      <c r="H8" s="11"/>
      <c r="I8" s="11"/>
      <c r="J8" s="719" t="str">
        <f>VLOOKUP($C$5,Data!B4:N7,2)</f>
        <v>SK290</v>
      </c>
      <c r="K8" s="719"/>
      <c r="L8" s="719"/>
      <c r="M8" s="719"/>
      <c r="N8" s="5"/>
      <c r="O8" s="5"/>
      <c r="P8" s="720">
        <f>VLOOKUP($C$5,Data!B4:N7,7)</f>
        <v>59.5</v>
      </c>
      <c r="Q8" s="720"/>
      <c r="R8" s="3"/>
      <c r="S8" s="242" t="s">
        <v>12</v>
      </c>
      <c r="T8" s="242"/>
      <c r="U8" s="242"/>
      <c r="V8" s="242"/>
      <c r="W8" s="242"/>
      <c r="X8" s="717">
        <f>(X6*K11+(X6-1)*X7+2*J32)/12</f>
        <v>92.5</v>
      </c>
      <c r="Y8" s="717"/>
      <c r="Z8" s="29" t="s">
        <v>13</v>
      </c>
      <c r="AA8" s="3"/>
      <c r="AB8" s="3"/>
      <c r="AC8" s="242" t="s">
        <v>14</v>
      </c>
      <c r="AD8" s="242"/>
      <c r="AE8" s="242"/>
      <c r="AF8" s="242"/>
      <c r="AG8" s="242"/>
      <c r="AH8" s="242"/>
      <c r="AI8" s="717">
        <f>VLOOKUP($C$5,Data!B4:N7,5)</f>
        <v>32.4</v>
      </c>
      <c r="AJ8" s="717"/>
      <c r="AK8" s="242" t="s">
        <v>8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94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</row>
    <row r="9" spans="1:85" ht="16.5" customHeight="1">
      <c r="A9" s="670" t="s">
        <v>211</v>
      </c>
      <c r="B9" s="670"/>
      <c r="C9" s="670"/>
      <c r="D9" s="670"/>
      <c r="E9" s="96"/>
      <c r="F9" s="3"/>
      <c r="G9" s="3"/>
      <c r="H9" s="3"/>
      <c r="I9" s="721" t="s">
        <v>15</v>
      </c>
      <c r="J9" s="717"/>
      <c r="K9" s="722">
        <f>VLOOKUP($C$5,Data!B4:N7,3)/(VLOOKUP($C$5,Data!B4:N7,4)/12)</f>
        <v>27.254658385093173</v>
      </c>
      <c r="L9" s="722"/>
      <c r="M9" s="269" t="s">
        <v>16</v>
      </c>
      <c r="N9" s="5"/>
      <c r="O9" s="5"/>
      <c r="P9" s="5"/>
      <c r="Q9" s="6"/>
      <c r="R9" s="3"/>
      <c r="S9" s="3"/>
      <c r="T9" s="27"/>
      <c r="U9" s="27"/>
      <c r="V9" s="27"/>
      <c r="W9" s="3"/>
      <c r="X9" s="3"/>
      <c r="Y9" s="3"/>
      <c r="Z9" s="3"/>
      <c r="AA9" s="3"/>
      <c r="AB9" s="3"/>
      <c r="AC9" s="242" t="s">
        <v>17</v>
      </c>
      <c r="AD9" s="242"/>
      <c r="AE9" s="242"/>
      <c r="AF9" s="242"/>
      <c r="AG9" s="242"/>
      <c r="AH9" s="242"/>
      <c r="AI9" s="717">
        <f>(AI6*AI7+2*AI8)/12</f>
        <v>65.774999999999991</v>
      </c>
      <c r="AJ9" s="717"/>
      <c r="AK9" s="242" t="s">
        <v>13</v>
      </c>
      <c r="AL9" s="3"/>
      <c r="AM9" s="11"/>
      <c r="AN9" s="23"/>
      <c r="AO9" s="37" t="s">
        <v>18</v>
      </c>
      <c r="AP9" s="3"/>
      <c r="AQ9" s="3"/>
      <c r="AR9" s="716"/>
      <c r="AS9" s="716"/>
      <c r="AT9" s="716"/>
      <c r="AU9" s="716"/>
      <c r="AV9" s="716"/>
      <c r="AW9" s="716"/>
      <c r="AX9" s="716"/>
      <c r="AY9" s="716"/>
      <c r="AZ9" s="716"/>
      <c r="BA9" s="716"/>
      <c r="BB9" s="716"/>
      <c r="BC9" s="716"/>
      <c r="BD9" s="3"/>
      <c r="BE9" s="94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</row>
    <row r="10" spans="1:85" ht="16.5" customHeight="1">
      <c r="A10" s="268"/>
      <c r="B10" s="268"/>
      <c r="C10" s="1"/>
      <c r="D10" s="268"/>
      <c r="E10" s="96"/>
      <c r="F10" s="3"/>
      <c r="G10" s="3"/>
      <c r="H10" s="3"/>
      <c r="I10" s="723" t="s">
        <v>19</v>
      </c>
      <c r="J10" s="723"/>
      <c r="K10" s="723"/>
      <c r="L10" s="723"/>
      <c r="M10" s="723"/>
      <c r="N10" s="723"/>
      <c r="O10" s="5"/>
      <c r="P10" s="5"/>
      <c r="Q10" s="6"/>
      <c r="R10" s="3"/>
      <c r="S10" s="30" t="s">
        <v>20</v>
      </c>
      <c r="T10" s="31"/>
      <c r="U10" s="31"/>
      <c r="V10" s="31"/>
      <c r="W10" s="31"/>
      <c r="X10" s="270"/>
      <c r="Y10" s="270"/>
      <c r="Z10" s="271"/>
      <c r="AA10" s="3"/>
      <c r="AB10" s="3"/>
      <c r="AC10" s="242" t="s">
        <v>21</v>
      </c>
      <c r="AD10" s="242"/>
      <c r="AE10" s="242"/>
      <c r="AF10" s="242"/>
      <c r="AG10" s="242"/>
      <c r="AH10" s="242"/>
      <c r="AI10" s="717">
        <f>VLOOKUP($C$5,Data!B4:N7,13)</f>
        <v>12</v>
      </c>
      <c r="AJ10" s="717"/>
      <c r="AK10" s="242" t="s">
        <v>8</v>
      </c>
      <c r="AL10" s="3"/>
      <c r="AM10" s="11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94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</row>
    <row r="11" spans="1:85" ht="16.5" customHeight="1">
      <c r="A11" s="300" t="s">
        <v>242</v>
      </c>
      <c r="B11" s="92"/>
      <c r="C11" s="92"/>
      <c r="D11" s="98"/>
      <c r="E11" s="96"/>
      <c r="F11" s="272"/>
      <c r="G11" s="272"/>
      <c r="H11" s="272"/>
      <c r="I11" s="272"/>
      <c r="J11" s="273"/>
      <c r="K11" s="724">
        <f>VLOOKUP($C$5,Data!B4:N7,6)</f>
        <v>100.5</v>
      </c>
      <c r="L11" s="724"/>
      <c r="M11" s="5"/>
      <c r="N11" s="5"/>
      <c r="O11" s="5"/>
      <c r="P11" s="5"/>
      <c r="Q11" s="6"/>
      <c r="R11" s="3"/>
      <c r="S11" s="242" t="s">
        <v>23</v>
      </c>
      <c r="T11" s="58"/>
      <c r="U11" s="58"/>
      <c r="V11" s="58"/>
      <c r="W11" s="242"/>
      <c r="X11" s="725">
        <f>(AG25+AF27+AG30)/12</f>
        <v>6.708333333333333</v>
      </c>
      <c r="Y11" s="725"/>
      <c r="Z11" s="29" t="s">
        <v>13</v>
      </c>
      <c r="AA11" s="27"/>
      <c r="AB11" s="3"/>
      <c r="AC11" s="242" t="s">
        <v>24</v>
      </c>
      <c r="AD11" s="58"/>
      <c r="AE11" s="58"/>
      <c r="AF11" s="58"/>
      <c r="AG11" s="242"/>
      <c r="AH11" s="242"/>
      <c r="AI11" s="717">
        <f>AI9+2*AI10/12</f>
        <v>67.774999999999991</v>
      </c>
      <c r="AJ11" s="717"/>
      <c r="AK11" s="242" t="s">
        <v>13</v>
      </c>
      <c r="AL11" s="3"/>
      <c r="AM11" s="3"/>
      <c r="AN11" s="3"/>
      <c r="AO11" s="37" t="s">
        <v>25</v>
      </c>
      <c r="AP11" s="3"/>
      <c r="AQ11" s="3"/>
      <c r="AR11" s="3"/>
      <c r="AS11" s="3"/>
      <c r="AT11" s="3"/>
      <c r="AU11" s="716"/>
      <c r="AV11" s="716"/>
      <c r="AW11" s="716"/>
      <c r="AX11" s="716"/>
      <c r="AY11" s="716"/>
      <c r="AZ11" s="716"/>
      <c r="BA11" s="716"/>
      <c r="BB11" s="716"/>
      <c r="BC11" s="716"/>
      <c r="BD11" s="3"/>
      <c r="BE11" s="94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</row>
    <row r="12" spans="1:85" ht="16.5" customHeight="1" thickBot="1">
      <c r="A12" s="671" t="s">
        <v>184</v>
      </c>
      <c r="B12" s="671"/>
      <c r="C12" s="226">
        <f>(C2-2*C8*O17-2*Y16*X8*X11*(AI10/12)-(2*Y16*(X8*X11*(AI8/12)-C8*O17)))/((C8*K9+Y16*(X8*X11-C8*K9))*(AI7/12))</f>
        <v>14.670826028992762</v>
      </c>
      <c r="D12" s="1"/>
      <c r="E12" s="96"/>
      <c r="F12" s="11"/>
      <c r="G12" s="23"/>
      <c r="H12" s="11"/>
      <c r="I12" s="11"/>
      <c r="J12" s="273"/>
      <c r="K12" s="5"/>
      <c r="L12" s="5"/>
      <c r="M12" s="5"/>
      <c r="N12" s="5"/>
      <c r="O12" s="5"/>
      <c r="P12" s="5"/>
      <c r="Q12" s="6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726"/>
      <c r="AG12" s="726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94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</row>
    <row r="13" spans="1:85" ht="16.5" customHeight="1" thickBot="1">
      <c r="A13" s="671" t="s">
        <v>185</v>
      </c>
      <c r="B13" s="671"/>
      <c r="C13" s="294">
        <f>ROUNDUP((C2-2*C8*O17-2*Y16*X8*X11*(AI10/12)-(2*Y16*(X8*X11*(AI8/12)-C8*O17)))/((C8*K9+Y16*(X8*X11-C8*K9))*(AI7/12)),0)</f>
        <v>15</v>
      </c>
      <c r="D13" s="98"/>
      <c r="E13" s="96"/>
      <c r="F13" s="11"/>
      <c r="G13" s="11"/>
      <c r="H13" s="33" t="s">
        <v>26</v>
      </c>
      <c r="I13" s="275"/>
      <c r="J13" s="276"/>
      <c r="K13" s="276"/>
      <c r="L13" s="275"/>
      <c r="M13" s="275"/>
      <c r="N13" s="275"/>
      <c r="O13" s="275"/>
      <c r="P13" s="275"/>
      <c r="Q13" s="275"/>
      <c r="R13" s="3"/>
      <c r="S13" s="33" t="s">
        <v>201</v>
      </c>
      <c r="T13" s="31"/>
      <c r="U13" s="31"/>
      <c r="V13" s="31"/>
      <c r="W13" s="31"/>
      <c r="X13" s="31"/>
      <c r="Y13" s="31"/>
      <c r="Z13" s="31"/>
      <c r="AA13" s="31"/>
      <c r="AB13" s="31"/>
      <c r="AC13" s="3"/>
      <c r="AD13" s="30" t="s">
        <v>27</v>
      </c>
      <c r="AE13" s="31"/>
      <c r="AF13" s="31"/>
      <c r="AG13" s="31"/>
      <c r="AH13" s="31"/>
      <c r="AI13" s="31"/>
      <c r="AJ13" s="31"/>
      <c r="AK13" s="31"/>
      <c r="AL13" s="3"/>
      <c r="AM13" s="3"/>
      <c r="AN13" s="3"/>
      <c r="AO13" s="37" t="s">
        <v>28</v>
      </c>
      <c r="AP13" s="3"/>
      <c r="AQ13" s="3"/>
      <c r="AR13" s="3"/>
      <c r="AS13" s="3"/>
      <c r="AT13" s="3"/>
      <c r="AU13" s="3"/>
      <c r="AV13" s="3"/>
      <c r="AW13" s="3"/>
      <c r="AX13" s="727">
        <f>C2</f>
        <v>26625</v>
      </c>
      <c r="AY13" s="728"/>
      <c r="AZ13" s="728"/>
      <c r="BA13" s="729"/>
      <c r="BB13" s="3"/>
      <c r="BC13" s="3"/>
      <c r="BD13" s="3"/>
      <c r="BE13" s="94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</row>
    <row r="14" spans="1:85" ht="16.5" customHeight="1">
      <c r="A14" s="672" t="s">
        <v>186</v>
      </c>
      <c r="B14" s="673"/>
      <c r="C14" s="708">
        <f>(C8*K9+Y16*(X8*X11-C8*K9))*(AI7/12)*C13+2*C8*O17+2*Y16*X8*X11*(AI10/12)+(2*Y16*(X8*X11*(AI8/12)-C8*O17))</f>
        <v>27170.519791666666</v>
      </c>
      <c r="D14" s="708"/>
      <c r="E14" s="96"/>
      <c r="F14" s="11"/>
      <c r="G14" s="686" t="s">
        <v>29</v>
      </c>
      <c r="H14" s="686"/>
      <c r="I14" s="686"/>
      <c r="J14" s="686"/>
      <c r="K14" s="686"/>
      <c r="L14" s="686"/>
      <c r="M14" s="686"/>
      <c r="N14" s="93"/>
      <c r="O14" s="692">
        <f>X6*AI6</f>
        <v>150</v>
      </c>
      <c r="P14" s="692"/>
      <c r="Q14" s="44"/>
      <c r="R14" s="703" t="s">
        <v>202</v>
      </c>
      <c r="S14" s="703"/>
      <c r="T14" s="703"/>
      <c r="U14" s="703"/>
      <c r="V14" s="703"/>
      <c r="W14" s="703"/>
      <c r="X14" s="703"/>
      <c r="Y14" s="704">
        <f>X8*X11*AI11</f>
        <v>42055.799479166657</v>
      </c>
      <c r="Z14" s="704"/>
      <c r="AA14" s="704"/>
      <c r="AB14" s="7" t="s">
        <v>30</v>
      </c>
      <c r="AC14" s="3"/>
      <c r="AD14" s="705" t="s">
        <v>203</v>
      </c>
      <c r="AE14" s="705"/>
      <c r="AF14" s="705"/>
      <c r="AG14" s="705"/>
      <c r="AH14" s="706">
        <f>N18+Y17</f>
        <v>27170.519791666666</v>
      </c>
      <c r="AI14" s="706"/>
      <c r="AJ14" s="706"/>
      <c r="AK14" s="278" t="s">
        <v>31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94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</row>
    <row r="15" spans="1:85" ht="16.5" customHeight="1">
      <c r="A15" s="92"/>
      <c r="B15" s="92"/>
      <c r="C15" s="92"/>
      <c r="D15" s="279"/>
      <c r="E15" s="96"/>
      <c r="F15" s="280"/>
      <c r="G15" s="686" t="s">
        <v>32</v>
      </c>
      <c r="H15" s="686"/>
      <c r="I15" s="686"/>
      <c r="J15" s="686"/>
      <c r="K15" s="686"/>
      <c r="L15" s="686"/>
      <c r="M15" s="686"/>
      <c r="N15" s="93"/>
      <c r="O15" s="714">
        <f>VLOOKUP($C$5,Data!B4:N7,3)</f>
        <v>109.7</v>
      </c>
      <c r="P15" s="714"/>
      <c r="Q15" s="44" t="s">
        <v>30</v>
      </c>
      <c r="R15" s="703" t="s">
        <v>204</v>
      </c>
      <c r="S15" s="703"/>
      <c r="T15" s="703"/>
      <c r="U15" s="703"/>
      <c r="V15" s="703"/>
      <c r="W15" s="703"/>
      <c r="X15" s="703"/>
      <c r="Y15" s="702">
        <f>Y14-N18</f>
        <v>24808.799479166657</v>
      </c>
      <c r="Z15" s="702"/>
      <c r="AA15" s="702"/>
      <c r="AB15" s="7" t="s">
        <v>30</v>
      </c>
      <c r="AC15" s="3"/>
      <c r="AD15" s="691" t="s">
        <v>205</v>
      </c>
      <c r="AE15" s="691"/>
      <c r="AF15" s="691"/>
      <c r="AG15" s="691"/>
      <c r="AH15" s="707">
        <f>C2</f>
        <v>26625</v>
      </c>
      <c r="AI15" s="707"/>
      <c r="AJ15" s="707"/>
      <c r="AK15" s="278" t="s">
        <v>31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2"/>
      <c r="AW15" s="3"/>
      <c r="AX15" s="3"/>
      <c r="AY15" s="3"/>
      <c r="AZ15" s="3"/>
      <c r="BA15" s="3"/>
      <c r="BB15" s="3"/>
      <c r="BC15" s="3"/>
      <c r="BD15" s="3"/>
      <c r="BE15" s="94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</row>
    <row r="16" spans="1:85" ht="16.5" customHeight="1">
      <c r="A16" s="214" t="s">
        <v>243</v>
      </c>
      <c r="B16" s="92"/>
      <c r="C16" s="92"/>
      <c r="D16" s="92"/>
      <c r="E16" s="96"/>
      <c r="F16" s="244"/>
      <c r="G16" s="686" t="s">
        <v>33</v>
      </c>
      <c r="H16" s="686"/>
      <c r="I16" s="686"/>
      <c r="J16" s="686"/>
      <c r="K16" s="686"/>
      <c r="L16" s="686"/>
      <c r="M16" s="686"/>
      <c r="N16" s="93"/>
      <c r="O16" s="692">
        <f>2*X6</f>
        <v>20</v>
      </c>
      <c r="P16" s="692"/>
      <c r="Q16" s="44"/>
      <c r="R16" s="703" t="s">
        <v>34</v>
      </c>
      <c r="S16" s="703"/>
      <c r="T16" s="703"/>
      <c r="U16" s="703"/>
      <c r="V16" s="703"/>
      <c r="W16" s="703"/>
      <c r="X16" s="703"/>
      <c r="Y16" s="709">
        <v>0.4</v>
      </c>
      <c r="Z16" s="709"/>
      <c r="AA16" s="709"/>
      <c r="AB16" s="3"/>
      <c r="AC16" s="3"/>
      <c r="AD16" s="710" t="s">
        <v>35</v>
      </c>
      <c r="AE16" s="711"/>
      <c r="AF16" s="711"/>
      <c r="AG16" s="711"/>
      <c r="AH16" s="711"/>
      <c r="AI16" s="711"/>
      <c r="AJ16" s="712">
        <f>AH14/AH15</f>
        <v>1.0204890062597809</v>
      </c>
      <c r="AK16" s="712"/>
      <c r="AL16" s="713"/>
      <c r="AM16" s="3"/>
      <c r="AN16" s="3"/>
      <c r="AO16" s="36" t="s">
        <v>188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94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</row>
    <row r="17" spans="1:85" ht="16.5" customHeight="1">
      <c r="A17" s="214" t="s">
        <v>244</v>
      </c>
      <c r="B17" s="92"/>
      <c r="C17" s="92"/>
      <c r="D17" s="92"/>
      <c r="E17" s="96"/>
      <c r="F17" s="244"/>
      <c r="G17" s="686" t="s">
        <v>36</v>
      </c>
      <c r="H17" s="686"/>
      <c r="I17" s="686"/>
      <c r="J17" s="686"/>
      <c r="K17" s="686"/>
      <c r="L17" s="686"/>
      <c r="M17" s="686"/>
      <c r="N17" s="93"/>
      <c r="O17" s="714">
        <f>VLOOKUP($C$5,Data!B4:N7,12)</f>
        <v>39.6</v>
      </c>
      <c r="P17" s="714"/>
      <c r="Q17" s="44" t="s">
        <v>30</v>
      </c>
      <c r="R17" s="703" t="s">
        <v>206</v>
      </c>
      <c r="S17" s="703"/>
      <c r="T17" s="703"/>
      <c r="U17" s="703"/>
      <c r="V17" s="703"/>
      <c r="W17" s="703"/>
      <c r="X17" s="703"/>
      <c r="Y17" s="702">
        <f>Y15*Y16</f>
        <v>9923.5197916666639</v>
      </c>
      <c r="Z17" s="702"/>
      <c r="AA17" s="702"/>
      <c r="AB17" s="7" t="s">
        <v>30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697">
        <f>O14</f>
        <v>150</v>
      </c>
      <c r="AP17" s="697"/>
      <c r="AQ17" s="701" t="str">
        <f>VLOOKUP($C$5,Data!B4:N7,2)</f>
        <v>SK290</v>
      </c>
      <c r="AR17" s="701"/>
      <c r="AS17" s="3" t="s">
        <v>37</v>
      </c>
      <c r="AT17" s="94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94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</row>
    <row r="18" spans="1:85" ht="16.5" customHeight="1">
      <c r="A18" s="92"/>
      <c r="B18" s="92"/>
      <c r="C18" s="92"/>
      <c r="D18" s="92"/>
      <c r="E18" s="96"/>
      <c r="F18" s="281"/>
      <c r="G18" s="686" t="s">
        <v>207</v>
      </c>
      <c r="H18" s="686"/>
      <c r="I18" s="686"/>
      <c r="J18" s="686"/>
      <c r="K18" s="686"/>
      <c r="L18" s="686"/>
      <c r="M18" s="686"/>
      <c r="N18" s="687">
        <f>O14*O15+O16*O17</f>
        <v>17247</v>
      </c>
      <c r="O18" s="687"/>
      <c r="P18" s="687"/>
      <c r="Q18" s="44" t="s">
        <v>30</v>
      </c>
      <c r="R18" s="3"/>
      <c r="S18" s="27"/>
      <c r="T18" s="3"/>
      <c r="U18" s="3"/>
      <c r="V18" s="3"/>
      <c r="W18" s="3"/>
      <c r="X18" s="3"/>
      <c r="Y18" s="3"/>
      <c r="Z18" s="688"/>
      <c r="AA18" s="688"/>
      <c r="AB18" s="27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697">
        <f>O16</f>
        <v>20</v>
      </c>
      <c r="AP18" s="697"/>
      <c r="AQ18" s="701" t="str">
        <f>VLOOKUP($C$5,Data!B4:N7,2)</f>
        <v>SK290</v>
      </c>
      <c r="AR18" s="701"/>
      <c r="AS18" s="3" t="s">
        <v>38</v>
      </c>
      <c r="AT18" s="94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94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</row>
    <row r="19" spans="1:85" ht="16.5" customHeight="1">
      <c r="A19" s="715" t="s">
        <v>261</v>
      </c>
      <c r="B19" s="715"/>
      <c r="C19" s="715"/>
      <c r="D19" s="715"/>
      <c r="E19" s="96"/>
      <c r="F19" s="244"/>
      <c r="G19" s="244"/>
      <c r="H19" s="11"/>
      <c r="I19" s="11"/>
      <c r="J19" s="282"/>
      <c r="K19" s="93"/>
      <c r="L19" s="93"/>
      <c r="M19" s="93"/>
      <c r="N19" s="93"/>
      <c r="O19" s="94"/>
      <c r="P19" s="94"/>
      <c r="Q19" s="96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702">
        <f>Y15/27</f>
        <v>918.84442515432067</v>
      </c>
      <c r="AP19" s="702"/>
      <c r="AQ19" s="701" t="s">
        <v>39</v>
      </c>
      <c r="AR19" s="701"/>
      <c r="AS19" s="701"/>
      <c r="AT19" s="701"/>
      <c r="AU19" s="701"/>
      <c r="AV19" s="701"/>
      <c r="AW19" s="701"/>
      <c r="AX19" s="283"/>
      <c r="AY19" s="3"/>
      <c r="AZ19" s="3"/>
      <c r="BA19" s="3"/>
      <c r="BB19" s="3"/>
      <c r="BC19" s="3"/>
      <c r="BD19" s="3"/>
      <c r="BE19" s="94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</row>
    <row r="20" spans="1:85" ht="16.5" customHeight="1">
      <c r="A20" s="715"/>
      <c r="B20" s="715"/>
      <c r="C20" s="715"/>
      <c r="D20" s="715"/>
      <c r="E20" s="96"/>
      <c r="F20" s="244"/>
      <c r="G20" s="244"/>
      <c r="H20" s="689" t="s">
        <v>40</v>
      </c>
      <c r="I20" s="689"/>
      <c r="J20" s="689"/>
      <c r="K20" s="689"/>
      <c r="L20" s="689"/>
      <c r="M20" s="689"/>
      <c r="N20" s="689"/>
      <c r="O20" s="689"/>
      <c r="P20" s="689"/>
      <c r="Q20" s="689"/>
      <c r="R20" s="689"/>
      <c r="S20" s="689"/>
      <c r="T20" s="689"/>
      <c r="U20" s="689"/>
      <c r="V20" s="689"/>
      <c r="W20" s="689"/>
      <c r="X20" s="69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702">
        <f>(2*X8*AI11+2*X11*AI11+2*X11*X8)/9</f>
        <v>1632.0812499999997</v>
      </c>
      <c r="AP20" s="702"/>
      <c r="AQ20" s="701" t="s">
        <v>41</v>
      </c>
      <c r="AR20" s="701"/>
      <c r="AS20" s="701"/>
      <c r="AT20" s="701"/>
      <c r="AU20" s="701"/>
      <c r="AV20" s="701"/>
      <c r="AW20" s="701"/>
      <c r="AX20" s="701"/>
      <c r="AY20" s="3"/>
      <c r="AZ20" s="3"/>
      <c r="BA20" s="3"/>
      <c r="BB20" s="3"/>
      <c r="BC20" s="3"/>
      <c r="BD20" s="3"/>
      <c r="BE20" s="94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</row>
    <row r="21" spans="1:85" ht="16.5" customHeight="1">
      <c r="A21" s="92"/>
      <c r="B21" s="92"/>
      <c r="C21" s="92"/>
      <c r="D21" s="92"/>
      <c r="E21" s="96"/>
      <c r="F21" s="13"/>
      <c r="G21" s="14"/>
      <c r="H21" s="689"/>
      <c r="I21" s="689"/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89"/>
      <c r="U21" s="689"/>
      <c r="V21" s="689"/>
      <c r="W21" s="689"/>
      <c r="X21" s="690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94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</row>
    <row r="22" spans="1:85" ht="16.5" customHeight="1">
      <c r="A22" s="92"/>
      <c r="B22" s="92"/>
      <c r="C22" s="92"/>
      <c r="D22" s="92"/>
      <c r="E22" s="96"/>
      <c r="F22" s="244"/>
      <c r="G22" s="21"/>
      <c r="H22" s="689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89"/>
      <c r="U22" s="689"/>
      <c r="V22" s="689"/>
      <c r="W22" s="689"/>
      <c r="X22" s="690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6" t="s">
        <v>42</v>
      </c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94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</row>
    <row r="23" spans="1:85" ht="16.5" customHeight="1">
      <c r="A23" s="92"/>
      <c r="B23" s="92"/>
      <c r="C23" s="92"/>
      <c r="D23" s="92"/>
      <c r="E23" s="96"/>
      <c r="F23" s="245"/>
      <c r="G23" s="245"/>
      <c r="H23" s="691"/>
      <c r="I23" s="691"/>
      <c r="J23" s="15"/>
      <c r="K23" s="5"/>
      <c r="L23" s="5"/>
      <c r="M23" s="5"/>
      <c r="N23" s="5"/>
      <c r="O23" s="5"/>
      <c r="P23" s="5"/>
      <c r="Q23" s="6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48"/>
      <c r="AP23" s="693"/>
      <c r="AQ23" s="693"/>
      <c r="AR23" s="693"/>
      <c r="AS23" s="693"/>
      <c r="AT23" s="693"/>
      <c r="AU23" s="693"/>
      <c r="AV23" s="693"/>
      <c r="AW23" s="693"/>
      <c r="AX23" s="693"/>
      <c r="AY23" s="693"/>
      <c r="AZ23" s="693"/>
      <c r="BA23" s="693"/>
      <c r="BB23" s="693"/>
      <c r="BC23" s="49"/>
      <c r="BD23" s="3"/>
      <c r="BE23" s="94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</row>
    <row r="24" spans="1:85" ht="12.75" customHeight="1">
      <c r="A24" s="92"/>
      <c r="B24" s="92"/>
      <c r="C24" s="92"/>
      <c r="D24" s="92"/>
      <c r="E24" s="96"/>
      <c r="F24" s="11"/>
      <c r="G24" s="11"/>
      <c r="H24" s="11"/>
      <c r="I24" s="11"/>
      <c r="J24" s="15"/>
      <c r="K24" s="5"/>
      <c r="L24" s="5"/>
      <c r="M24" s="5"/>
      <c r="N24" s="5"/>
      <c r="O24" s="5"/>
      <c r="P24" s="5"/>
      <c r="Q24" s="6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50"/>
      <c r="AP24" s="693"/>
      <c r="AQ24" s="693"/>
      <c r="AR24" s="693"/>
      <c r="AS24" s="693"/>
      <c r="AT24" s="693"/>
      <c r="AU24" s="693"/>
      <c r="AV24" s="693"/>
      <c r="AW24" s="693"/>
      <c r="AX24" s="693"/>
      <c r="AY24" s="693"/>
      <c r="AZ24" s="693"/>
      <c r="BA24" s="693"/>
      <c r="BB24" s="693"/>
      <c r="BC24" s="51"/>
      <c r="BD24" s="3"/>
      <c r="BE24" s="94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</row>
    <row r="25" spans="1:85" ht="16.5" customHeight="1">
      <c r="A25" s="92"/>
      <c r="B25" s="92"/>
      <c r="C25" s="92"/>
      <c r="D25" s="92"/>
      <c r="E25" s="96"/>
      <c r="F25" s="11"/>
      <c r="G25" s="11"/>
      <c r="H25" s="11"/>
      <c r="I25" s="11"/>
      <c r="J25" s="15"/>
      <c r="K25" s="5"/>
      <c r="L25" s="5"/>
      <c r="M25" s="5"/>
      <c r="N25" s="5"/>
      <c r="O25" s="5"/>
      <c r="P25" s="5"/>
      <c r="Q25" s="6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685">
        <f>VLOOKUP($C$5,Data!B4:N7,11)</f>
        <v>12</v>
      </c>
      <c r="AH25" s="685"/>
      <c r="AI25" s="3"/>
      <c r="AJ25" s="3"/>
      <c r="AK25" s="3"/>
      <c r="AL25" s="3"/>
      <c r="AM25" s="3"/>
      <c r="AN25" s="3"/>
      <c r="AO25" s="50"/>
      <c r="AP25" s="693"/>
      <c r="AQ25" s="693"/>
      <c r="AR25" s="693"/>
      <c r="AS25" s="693"/>
      <c r="AT25" s="693"/>
      <c r="AU25" s="693"/>
      <c r="AV25" s="693"/>
      <c r="AW25" s="693"/>
      <c r="AX25" s="693"/>
      <c r="AY25" s="693"/>
      <c r="AZ25" s="693"/>
      <c r="BA25" s="693"/>
      <c r="BB25" s="693"/>
      <c r="BC25" s="51"/>
      <c r="BD25" s="3"/>
      <c r="BE25" s="94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</row>
    <row r="26" spans="1:85" ht="16.5" customHeight="1">
      <c r="A26" s="92"/>
      <c r="B26" s="92"/>
      <c r="C26" s="92"/>
      <c r="D26" s="92"/>
      <c r="E26" s="3"/>
      <c r="F26" s="11"/>
      <c r="G26" s="11"/>
      <c r="H26" s="11"/>
      <c r="I26" s="11"/>
      <c r="J26" s="16"/>
      <c r="K26" s="5"/>
      <c r="L26" s="5"/>
      <c r="M26" s="5"/>
      <c r="N26" s="5"/>
      <c r="O26" s="5"/>
      <c r="P26" s="5"/>
      <c r="Q26" s="6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26"/>
      <c r="AG26" s="26"/>
      <c r="AH26" s="3"/>
      <c r="AI26" s="696">
        <f>X11</f>
        <v>6.708333333333333</v>
      </c>
      <c r="AJ26" s="696"/>
      <c r="AK26" s="3"/>
      <c r="AL26" s="3"/>
      <c r="AM26" s="3"/>
      <c r="AN26" s="3"/>
      <c r="AO26" s="50"/>
      <c r="AP26" s="693"/>
      <c r="AQ26" s="693"/>
      <c r="AR26" s="693"/>
      <c r="AS26" s="693"/>
      <c r="AT26" s="693"/>
      <c r="AU26" s="693"/>
      <c r="AV26" s="693"/>
      <c r="AW26" s="693"/>
      <c r="AX26" s="693"/>
      <c r="AY26" s="693"/>
      <c r="AZ26" s="693"/>
      <c r="BA26" s="693"/>
      <c r="BB26" s="693"/>
      <c r="BC26" s="51"/>
      <c r="BD26" s="3"/>
      <c r="BE26" s="94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</row>
    <row r="27" spans="1:85" ht="16.5" customHeight="1">
      <c r="A27" s="92"/>
      <c r="B27" s="92"/>
      <c r="C27" s="92"/>
      <c r="D27" s="92"/>
      <c r="E27" s="3"/>
      <c r="F27" s="11"/>
      <c r="G27" s="11"/>
      <c r="H27" s="11"/>
      <c r="I27" s="11"/>
      <c r="J27" s="12"/>
      <c r="K27" s="5"/>
      <c r="L27" s="5"/>
      <c r="M27" s="5"/>
      <c r="N27" s="5"/>
      <c r="O27" s="5"/>
      <c r="P27" s="5"/>
      <c r="Q27" s="6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699">
        <f>VLOOKUP($C$5,Data!B4:N7,7)</f>
        <v>59.5</v>
      </c>
      <c r="AG27" s="699"/>
      <c r="AH27" s="699"/>
      <c r="AI27" s="700" t="s">
        <v>43</v>
      </c>
      <c r="AJ27" s="700"/>
      <c r="AK27" s="700"/>
      <c r="AL27" s="3"/>
      <c r="AM27" s="3"/>
      <c r="AN27" s="3"/>
      <c r="AO27" s="50"/>
      <c r="AP27" s="693"/>
      <c r="AQ27" s="693"/>
      <c r="AR27" s="693"/>
      <c r="AS27" s="693"/>
      <c r="AT27" s="693"/>
      <c r="AU27" s="693"/>
      <c r="AV27" s="693"/>
      <c r="AW27" s="693"/>
      <c r="AX27" s="693"/>
      <c r="AY27" s="693"/>
      <c r="AZ27" s="693"/>
      <c r="BA27" s="693"/>
      <c r="BB27" s="693"/>
      <c r="BC27" s="51"/>
      <c r="BD27" s="3"/>
      <c r="BE27" s="94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</row>
    <row r="28" spans="1:85" ht="16.5" customHeight="1">
      <c r="A28" s="92"/>
      <c r="B28" s="92"/>
      <c r="C28" s="92"/>
      <c r="D28" s="92"/>
      <c r="E28" s="3"/>
      <c r="F28" s="3"/>
      <c r="G28" s="3"/>
      <c r="H28" s="3"/>
      <c r="I28" s="3"/>
      <c r="J28" s="89"/>
      <c r="K28" s="8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699"/>
      <c r="AG28" s="699"/>
      <c r="AH28" s="699"/>
      <c r="AI28" s="700"/>
      <c r="AJ28" s="700"/>
      <c r="AK28" s="700"/>
      <c r="AL28" s="3"/>
      <c r="AM28" s="3"/>
      <c r="AN28" s="3"/>
      <c r="AO28" s="50"/>
      <c r="AP28" s="693"/>
      <c r="AQ28" s="693"/>
      <c r="AR28" s="693"/>
      <c r="AS28" s="693"/>
      <c r="AT28" s="693"/>
      <c r="AU28" s="693"/>
      <c r="AV28" s="693"/>
      <c r="AW28" s="693"/>
      <c r="AX28" s="693"/>
      <c r="AY28" s="693"/>
      <c r="AZ28" s="693"/>
      <c r="BA28" s="693"/>
      <c r="BB28" s="693"/>
      <c r="BC28" s="51"/>
      <c r="BD28" s="3"/>
      <c r="BE28" s="94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</row>
    <row r="29" spans="1:85" ht="16.5" customHeight="1">
      <c r="A29" s="92"/>
      <c r="B29" s="92"/>
      <c r="C29" s="92"/>
      <c r="D29" s="92"/>
      <c r="E29" s="3"/>
      <c r="F29" s="3"/>
      <c r="G29" s="3"/>
      <c r="H29" s="3"/>
      <c r="I29" s="3"/>
      <c r="J29" s="89"/>
      <c r="K29" s="89"/>
      <c r="L29" s="17"/>
      <c r="M29" s="11"/>
      <c r="N29" s="3"/>
      <c r="O29" s="3"/>
      <c r="P29" s="17"/>
      <c r="Q29" s="18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26"/>
      <c r="AG29" s="3"/>
      <c r="AH29" s="3"/>
      <c r="AI29" s="3"/>
      <c r="AJ29" s="3"/>
      <c r="AK29" s="3"/>
      <c r="AL29" s="3"/>
      <c r="AM29" s="3"/>
      <c r="AN29" s="3"/>
      <c r="AO29" s="50"/>
      <c r="AP29" s="693"/>
      <c r="AQ29" s="693"/>
      <c r="AR29" s="693"/>
      <c r="AS29" s="693"/>
      <c r="AT29" s="693"/>
      <c r="AU29" s="693"/>
      <c r="AV29" s="693"/>
      <c r="AW29" s="693"/>
      <c r="AX29" s="693"/>
      <c r="AY29" s="693"/>
      <c r="AZ29" s="693"/>
      <c r="BA29" s="693"/>
      <c r="BB29" s="693"/>
      <c r="BC29" s="51"/>
      <c r="BD29" s="3"/>
      <c r="BE29" s="94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</row>
    <row r="30" spans="1:85" ht="16.5" customHeight="1">
      <c r="A30" s="92"/>
      <c r="B30" s="92"/>
      <c r="C30" s="92"/>
      <c r="D30" s="92"/>
      <c r="E30" s="3"/>
      <c r="F30" s="3"/>
      <c r="G30" s="3"/>
      <c r="H30" s="3"/>
      <c r="I30" s="3"/>
      <c r="J30" s="89"/>
      <c r="K30" s="89"/>
      <c r="L30" s="19"/>
      <c r="M30" s="3"/>
      <c r="N30" s="3"/>
      <c r="O30" s="3"/>
      <c r="P30" s="1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684">
        <f>VLOOKUP($C$5,Data!B4:N7,10)</f>
        <v>9</v>
      </c>
      <c r="AH30" s="684"/>
      <c r="AI30" s="3"/>
      <c r="AJ30" s="3"/>
      <c r="AK30" s="3"/>
      <c r="AL30" s="3"/>
      <c r="AM30" s="3"/>
      <c r="AN30" s="3"/>
      <c r="AO30" s="50"/>
      <c r="AP30" s="693"/>
      <c r="AQ30" s="693"/>
      <c r="AR30" s="693"/>
      <c r="AS30" s="693"/>
      <c r="AT30" s="693"/>
      <c r="AU30" s="693"/>
      <c r="AV30" s="693"/>
      <c r="AW30" s="693"/>
      <c r="AX30" s="693"/>
      <c r="AY30" s="693"/>
      <c r="AZ30" s="693"/>
      <c r="BA30" s="693"/>
      <c r="BB30" s="693"/>
      <c r="BC30" s="51"/>
      <c r="BD30" s="3"/>
      <c r="BE30" s="94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</row>
    <row r="31" spans="1:85" ht="16.5" customHeight="1">
      <c r="A31" s="92"/>
      <c r="B31" s="92"/>
      <c r="C31" s="92"/>
      <c r="D31" s="92"/>
      <c r="E31" s="3"/>
      <c r="F31" s="43"/>
      <c r="G31" s="9"/>
      <c r="H31" s="3"/>
      <c r="I31" s="3"/>
      <c r="J31" s="91"/>
      <c r="K31" s="91"/>
      <c r="L31" s="245"/>
      <c r="M31" s="91"/>
      <c r="N31" s="91"/>
      <c r="O31" s="43"/>
      <c r="P31" s="42"/>
      <c r="Q31" s="91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50"/>
      <c r="AP31" s="693"/>
      <c r="AQ31" s="693"/>
      <c r="AR31" s="693"/>
      <c r="AS31" s="693"/>
      <c r="AT31" s="693"/>
      <c r="AU31" s="693"/>
      <c r="AV31" s="693"/>
      <c r="AW31" s="693"/>
      <c r="AX31" s="693"/>
      <c r="AY31" s="693"/>
      <c r="AZ31" s="693"/>
      <c r="BA31" s="693"/>
      <c r="BB31" s="693"/>
      <c r="BC31" s="51"/>
      <c r="BD31" s="3"/>
      <c r="BE31" s="94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</row>
    <row r="32" spans="1:85" ht="16.5" customHeight="1">
      <c r="A32" s="92"/>
      <c r="B32" s="92"/>
      <c r="C32" s="92"/>
      <c r="D32" s="92"/>
      <c r="E32" s="3"/>
      <c r="F32" s="39"/>
      <c r="G32" s="39"/>
      <c r="H32" s="39"/>
      <c r="I32" s="39"/>
      <c r="J32" s="694">
        <f>VLOOKUP($C$5,Data!B4:N7,9)</f>
        <v>12</v>
      </c>
      <c r="K32" s="694"/>
      <c r="L32" s="91"/>
      <c r="M32" s="91"/>
      <c r="N32" s="91"/>
      <c r="O32" s="43"/>
      <c r="P32" s="42"/>
      <c r="Q32" s="91"/>
      <c r="R32" s="684">
        <f>X7</f>
        <v>9</v>
      </c>
      <c r="S32" s="684"/>
      <c r="T32" s="3"/>
      <c r="U32" s="3"/>
      <c r="V32" s="3"/>
      <c r="W32" s="3"/>
      <c r="X32" s="3"/>
      <c r="Y32" s="3"/>
      <c r="Z32" s="3"/>
      <c r="AA32" s="695">
        <f>K11</f>
        <v>100.5</v>
      </c>
      <c r="AB32" s="695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50"/>
      <c r="AP32" s="693"/>
      <c r="AQ32" s="693"/>
      <c r="AR32" s="693"/>
      <c r="AS32" s="693"/>
      <c r="AT32" s="693"/>
      <c r="AU32" s="693"/>
      <c r="AV32" s="693"/>
      <c r="AW32" s="693"/>
      <c r="AX32" s="693"/>
      <c r="AY32" s="693"/>
      <c r="AZ32" s="693"/>
      <c r="BA32" s="693"/>
      <c r="BB32" s="693"/>
      <c r="BC32" s="51"/>
      <c r="BD32" s="3"/>
      <c r="BE32" s="94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</row>
    <row r="33" spans="1:85" ht="16.5" customHeight="1">
      <c r="A33" s="92"/>
      <c r="B33" s="92"/>
      <c r="C33" s="92"/>
      <c r="D33" s="92"/>
      <c r="E33" s="3"/>
      <c r="F33" s="91"/>
      <c r="G33" s="91"/>
      <c r="H33" s="3"/>
      <c r="I33" s="3"/>
      <c r="J33" s="89"/>
      <c r="K33" s="3"/>
      <c r="L33" s="3"/>
      <c r="M33" s="3"/>
      <c r="N33" s="3"/>
      <c r="O33" s="91"/>
      <c r="P33" s="91"/>
      <c r="Q33" s="91"/>
      <c r="R33" s="3"/>
      <c r="S33" s="681">
        <f>X8</f>
        <v>92.5</v>
      </c>
      <c r="T33" s="681"/>
      <c r="U33" s="681"/>
      <c r="V33" s="697" t="s">
        <v>199</v>
      </c>
      <c r="W33" s="697"/>
      <c r="X33" s="697"/>
      <c r="Y33" s="697"/>
      <c r="Z33" s="69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50"/>
      <c r="AP33" s="693"/>
      <c r="AQ33" s="693"/>
      <c r="AR33" s="693"/>
      <c r="AS33" s="693"/>
      <c r="AT33" s="693"/>
      <c r="AU33" s="693"/>
      <c r="AV33" s="693"/>
      <c r="AW33" s="693"/>
      <c r="AX33" s="693"/>
      <c r="AY33" s="693"/>
      <c r="AZ33" s="693"/>
      <c r="BA33" s="693"/>
      <c r="BB33" s="693"/>
      <c r="BC33" s="51"/>
      <c r="BD33" s="3"/>
      <c r="BE33" s="94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</row>
    <row r="34" spans="1:85" ht="16.5" customHeight="1">
      <c r="A34" s="92"/>
      <c r="B34" s="92"/>
      <c r="C34" s="92"/>
      <c r="D34" s="92"/>
      <c r="E34" s="3"/>
      <c r="F34" s="3"/>
      <c r="G34" s="3"/>
      <c r="H34" s="34" t="s">
        <v>44</v>
      </c>
      <c r="I34" s="3"/>
      <c r="J34" s="89"/>
      <c r="K34" s="8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50"/>
      <c r="AP34" s="693"/>
      <c r="AQ34" s="693"/>
      <c r="AR34" s="693"/>
      <c r="AS34" s="693"/>
      <c r="AT34" s="693"/>
      <c r="AU34" s="693"/>
      <c r="AV34" s="693"/>
      <c r="AW34" s="693"/>
      <c r="AX34" s="693"/>
      <c r="AY34" s="693"/>
      <c r="AZ34" s="693"/>
      <c r="BA34" s="693"/>
      <c r="BB34" s="693"/>
      <c r="BC34" s="51"/>
      <c r="BD34" s="3"/>
      <c r="BE34" s="94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</row>
    <row r="35" spans="1:85" ht="16.5" customHeight="1">
      <c r="A35" s="92"/>
      <c r="B35" s="92"/>
      <c r="C35" s="92"/>
      <c r="D35" s="92"/>
      <c r="E35" s="3"/>
      <c r="F35" s="3"/>
      <c r="G35" s="3"/>
      <c r="H35" s="3"/>
      <c r="I35" s="3"/>
      <c r="J35" s="89"/>
      <c r="K35" s="8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52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53"/>
      <c r="BD35" s="3"/>
      <c r="BE35" s="94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</row>
    <row r="36" spans="1:85" ht="16.5" customHeight="1">
      <c r="A36" s="92"/>
      <c r="B36" s="92"/>
      <c r="C36" s="92"/>
      <c r="D36" s="92"/>
      <c r="E36" s="3"/>
      <c r="F36" s="3"/>
      <c r="G36" s="679" t="s">
        <v>200</v>
      </c>
      <c r="H36" s="679"/>
      <c r="I36" s="679"/>
      <c r="J36" s="679"/>
      <c r="K36" s="679"/>
      <c r="L36" s="679"/>
      <c r="M36" s="679"/>
      <c r="N36" s="679"/>
      <c r="O36" s="679"/>
      <c r="P36" s="679"/>
      <c r="Q36" s="679"/>
      <c r="R36" s="679"/>
      <c r="S36" s="679"/>
      <c r="T36" s="679"/>
      <c r="U36" s="679"/>
      <c r="V36" s="679"/>
      <c r="W36" s="679"/>
      <c r="X36" s="679"/>
      <c r="Y36" s="679"/>
      <c r="Z36" s="679"/>
      <c r="AA36" s="679"/>
      <c r="AB36" s="679"/>
      <c r="AC36" s="679"/>
      <c r="AD36" s="679"/>
      <c r="AE36" s="67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94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</row>
    <row r="37" spans="1:85" ht="16.5" customHeight="1">
      <c r="A37" s="92"/>
      <c r="B37" s="92"/>
      <c r="C37" s="92"/>
      <c r="D37" s="92"/>
      <c r="E37" s="3"/>
      <c r="F37" s="3"/>
      <c r="G37" s="679"/>
      <c r="H37" s="679"/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79"/>
      <c r="AC37" s="679"/>
      <c r="AD37" s="679"/>
      <c r="AE37" s="67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94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</row>
    <row r="38" spans="1:85" ht="16.5" customHeight="1">
      <c r="A38" s="92"/>
      <c r="B38" s="92"/>
      <c r="C38" s="92"/>
      <c r="D38" s="92"/>
      <c r="E38" s="3"/>
      <c r="F38" s="20"/>
      <c r="G38" s="3"/>
      <c r="H38" s="3"/>
      <c r="I38" s="3"/>
      <c r="J38" s="89"/>
      <c r="K38" s="89"/>
      <c r="L38" s="3"/>
      <c r="M38" s="3"/>
      <c r="N38" s="3"/>
      <c r="O38" s="3"/>
      <c r="P38" s="3"/>
      <c r="Q38" s="8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94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</row>
    <row r="39" spans="1:85" ht="16.5" customHeight="1">
      <c r="A39" s="92"/>
      <c r="B39" s="92"/>
      <c r="C39" s="92"/>
      <c r="D39" s="92"/>
      <c r="E39" s="3"/>
      <c r="F39" s="44"/>
      <c r="G39" s="3"/>
      <c r="H39" s="3"/>
      <c r="I39" s="3"/>
      <c r="J39" s="89"/>
      <c r="K39" s="89"/>
      <c r="L39" s="3"/>
      <c r="M39" s="3"/>
      <c r="N39" s="3"/>
      <c r="O39" s="3"/>
      <c r="P39" s="3"/>
      <c r="Q39" s="8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696">
        <f>AI9+2*AI10/12</f>
        <v>67.774999999999991</v>
      </c>
      <c r="AG39" s="696"/>
      <c r="AH39" s="696"/>
      <c r="AI39" s="39" t="s">
        <v>13</v>
      </c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94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</row>
    <row r="40" spans="1:85" ht="16.5" customHeight="1">
      <c r="A40" s="92"/>
      <c r="B40" s="92"/>
      <c r="C40" s="92"/>
      <c r="D40" s="92"/>
      <c r="E40" s="3"/>
      <c r="F40" s="7"/>
      <c r="G40" s="3"/>
      <c r="H40" s="3"/>
      <c r="I40" s="3"/>
      <c r="J40" s="89"/>
      <c r="K40" s="89"/>
      <c r="L40" s="3"/>
      <c r="M40" s="3"/>
      <c r="N40" s="3"/>
      <c r="O40" s="3"/>
      <c r="P40" s="3"/>
      <c r="Q40" s="8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94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</row>
    <row r="41" spans="1:85" ht="16.5" customHeight="1">
      <c r="A41" s="92"/>
      <c r="B41" s="92"/>
      <c r="C41" s="92"/>
      <c r="D41" s="92"/>
      <c r="E41" s="3"/>
      <c r="F41" s="3"/>
      <c r="G41" s="3"/>
      <c r="H41" s="3"/>
      <c r="I41" s="3"/>
      <c r="J41" s="70"/>
      <c r="K41" s="71"/>
      <c r="L41" s="72"/>
      <c r="M41" s="72"/>
      <c r="N41" s="72"/>
      <c r="O41" s="72"/>
      <c r="P41" s="72"/>
      <c r="Q41" s="71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3"/>
      <c r="BA41" s="3"/>
      <c r="BB41" s="3"/>
      <c r="BC41" s="3"/>
      <c r="BD41" s="3"/>
      <c r="BE41" s="94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</row>
    <row r="42" spans="1:85" ht="16.5" customHeight="1">
      <c r="A42" s="92"/>
      <c r="B42" s="92"/>
      <c r="C42" s="92"/>
      <c r="D42" s="92"/>
      <c r="E42" s="3"/>
      <c r="F42" s="3"/>
      <c r="G42" s="3"/>
      <c r="H42" s="3"/>
      <c r="I42" s="3"/>
      <c r="J42" s="74"/>
      <c r="K42" s="61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76">
        <f>C13</f>
        <v>15</v>
      </c>
      <c r="AA42" s="676"/>
      <c r="AB42" s="698" t="s">
        <v>45</v>
      </c>
      <c r="AC42" s="698"/>
      <c r="AD42" s="698"/>
      <c r="AE42" s="698"/>
      <c r="AF42" s="698"/>
      <c r="AG42" s="698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75"/>
      <c r="BA42" s="3"/>
      <c r="BB42" s="3"/>
      <c r="BC42" s="3"/>
      <c r="BD42" s="3"/>
      <c r="BE42" s="94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</row>
    <row r="43" spans="1:85" ht="16.5" customHeight="1">
      <c r="A43" s="92"/>
      <c r="B43" s="92"/>
      <c r="C43" s="92"/>
      <c r="D43" s="92"/>
      <c r="E43" s="3"/>
      <c r="F43" s="3"/>
      <c r="G43" s="3"/>
      <c r="H43" s="3"/>
      <c r="I43" s="3"/>
      <c r="J43" s="74"/>
      <c r="K43" s="61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76"/>
      <c r="AA43" s="676"/>
      <c r="AB43" s="698"/>
      <c r="AC43" s="698"/>
      <c r="AD43" s="698"/>
      <c r="AE43" s="698"/>
      <c r="AF43" s="698"/>
      <c r="AG43" s="698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75"/>
      <c r="BA43" s="3"/>
      <c r="BB43" s="3"/>
      <c r="BC43" s="3"/>
      <c r="BD43" s="3"/>
      <c r="BE43" s="94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</row>
    <row r="44" spans="1:85" ht="16.5" customHeight="1">
      <c r="A44" s="92"/>
      <c r="B44" s="92"/>
      <c r="C44" s="92"/>
      <c r="D44" s="92"/>
      <c r="E44" s="3"/>
      <c r="F44" s="3"/>
      <c r="G44" s="3"/>
      <c r="H44" s="3"/>
      <c r="I44" s="3"/>
      <c r="J44" s="74"/>
      <c r="K44" s="61"/>
      <c r="L44" s="62"/>
      <c r="M44" s="62"/>
      <c r="N44" s="62"/>
      <c r="O44" s="62"/>
      <c r="P44" s="62"/>
      <c r="Q44" s="64"/>
      <c r="R44" s="64"/>
      <c r="S44" s="64"/>
      <c r="T44" s="65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75"/>
      <c r="BA44" s="3"/>
      <c r="BB44" s="3"/>
      <c r="BC44" s="3"/>
      <c r="BD44" s="3"/>
      <c r="BE44" s="94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</row>
    <row r="45" spans="1:85" ht="16.5" customHeight="1">
      <c r="A45" s="92"/>
      <c r="B45" s="92"/>
      <c r="C45" s="92"/>
      <c r="D45" s="92"/>
      <c r="E45" s="3"/>
      <c r="F45" s="3"/>
      <c r="G45" s="3"/>
      <c r="H45" s="3"/>
      <c r="I45" s="3"/>
      <c r="J45" s="74"/>
      <c r="K45" s="66">
        <f>AI10</f>
        <v>12</v>
      </c>
      <c r="L45" s="66" t="s">
        <v>8</v>
      </c>
      <c r="M45" s="67" t="s">
        <v>46</v>
      </c>
      <c r="N45" s="62"/>
      <c r="O45" s="62"/>
      <c r="P45" s="62"/>
      <c r="Q45" s="680">
        <f>AI7</f>
        <v>48.3</v>
      </c>
      <c r="R45" s="680"/>
      <c r="S45" s="101" t="s">
        <v>8</v>
      </c>
      <c r="T45" s="100" t="s">
        <v>46</v>
      </c>
      <c r="U45" s="99"/>
      <c r="V45" s="66"/>
      <c r="W45" s="66"/>
      <c r="X45" s="66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75"/>
      <c r="BA45" s="3"/>
      <c r="BB45" s="3"/>
      <c r="BC45" s="3"/>
      <c r="BD45" s="3"/>
      <c r="BE45" s="94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</row>
    <row r="46" spans="1:85" ht="16.5" customHeight="1">
      <c r="A46" s="92"/>
      <c r="B46" s="92"/>
      <c r="C46" s="92"/>
      <c r="D46" s="92"/>
      <c r="E46" s="3"/>
      <c r="F46" s="3"/>
      <c r="G46" s="3"/>
      <c r="H46" s="3"/>
      <c r="I46" s="3"/>
      <c r="J46" s="74"/>
      <c r="K46" s="61"/>
      <c r="L46" s="68"/>
      <c r="M46" s="62"/>
      <c r="N46" s="62"/>
      <c r="O46" s="62"/>
      <c r="P46" s="62"/>
      <c r="Q46" s="64"/>
      <c r="R46" s="64"/>
      <c r="S46" s="64"/>
      <c r="T46" s="99"/>
      <c r="U46" s="99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75"/>
      <c r="BA46" s="3"/>
      <c r="BB46" s="3"/>
      <c r="BC46" s="3"/>
      <c r="BD46" s="3"/>
      <c r="BE46" s="94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</row>
    <row r="47" spans="1:85" ht="16.5" customHeight="1">
      <c r="A47" s="92"/>
      <c r="B47" s="92"/>
      <c r="C47" s="92"/>
      <c r="D47" s="92"/>
      <c r="E47" s="3"/>
      <c r="F47" s="3"/>
      <c r="G47" s="3"/>
      <c r="H47" s="3"/>
      <c r="I47" s="3"/>
      <c r="J47" s="74"/>
      <c r="K47" s="61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75"/>
      <c r="BA47" s="3"/>
      <c r="BB47" s="3"/>
      <c r="BC47" s="3"/>
      <c r="BD47" s="3"/>
      <c r="BE47" s="94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</row>
    <row r="48" spans="1:85" ht="16.5" customHeight="1">
      <c r="A48" s="92"/>
      <c r="B48" s="92"/>
      <c r="C48" s="92"/>
      <c r="D48" s="92"/>
      <c r="E48" s="3"/>
      <c r="F48" s="3"/>
      <c r="G48" s="3"/>
      <c r="H48" s="3"/>
      <c r="I48" s="3"/>
      <c r="J48" s="74"/>
      <c r="K48" s="61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75"/>
      <c r="BA48" s="3"/>
      <c r="BB48" s="3"/>
      <c r="BC48" s="3"/>
      <c r="BD48" s="3"/>
      <c r="BE48" s="94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</row>
    <row r="49" spans="1:85" ht="16.5" customHeight="1">
      <c r="A49" s="92"/>
      <c r="B49" s="92"/>
      <c r="C49" s="92"/>
      <c r="D49" s="92"/>
      <c r="E49" s="3"/>
      <c r="F49" s="681">
        <f>(X6*K11+(X6-1)*X7)/12</f>
        <v>90.5</v>
      </c>
      <c r="G49" s="681"/>
      <c r="H49" s="681"/>
      <c r="I49" s="40" t="s">
        <v>13</v>
      </c>
      <c r="J49" s="74"/>
      <c r="K49" s="61"/>
      <c r="L49" s="62"/>
      <c r="M49" s="62"/>
      <c r="N49" s="682" t="s">
        <v>208</v>
      </c>
      <c r="O49" s="682"/>
      <c r="P49" s="682"/>
      <c r="Q49" s="682"/>
      <c r="R49" s="682"/>
      <c r="S49" s="682"/>
      <c r="T49" s="682"/>
      <c r="U49" s="682"/>
      <c r="V49" s="682"/>
      <c r="W49" s="682"/>
      <c r="X49" s="683">
        <f>X8*AI11</f>
        <v>6269.1874999999991</v>
      </c>
      <c r="Y49" s="683"/>
      <c r="Z49" s="683"/>
      <c r="AA49" s="69" t="s">
        <v>47</v>
      </c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75"/>
      <c r="BA49" s="3"/>
      <c r="BB49" s="3"/>
      <c r="BC49" s="3"/>
      <c r="BD49" s="3"/>
      <c r="BE49" s="94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</row>
    <row r="50" spans="1:85" ht="16.5" customHeight="1">
      <c r="A50" s="92"/>
      <c r="B50" s="92"/>
      <c r="C50" s="92"/>
      <c r="D50" s="92"/>
      <c r="E50" s="3"/>
      <c r="F50" s="3"/>
      <c r="G50" s="3"/>
      <c r="H50" s="3"/>
      <c r="I50" s="3"/>
      <c r="J50" s="74"/>
      <c r="K50" s="284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82">
        <f>C8</f>
        <v>10</v>
      </c>
      <c r="AG50" s="682"/>
      <c r="AH50" s="63" t="s">
        <v>48</v>
      </c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75"/>
      <c r="BA50" s="3"/>
      <c r="BB50" s="3"/>
      <c r="BC50" s="3"/>
      <c r="BD50" s="3"/>
      <c r="BE50" s="94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</row>
    <row r="51" spans="1:85" ht="16.5" customHeight="1">
      <c r="A51" s="92"/>
      <c r="B51" s="92"/>
      <c r="C51" s="92"/>
      <c r="D51" s="92"/>
      <c r="E51" s="3"/>
      <c r="F51" s="3"/>
      <c r="G51" s="3"/>
      <c r="H51" s="3"/>
      <c r="I51" s="3"/>
      <c r="J51" s="74"/>
      <c r="K51" s="61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75"/>
      <c r="BA51" s="696">
        <f>(X6*K11+(X6-1)*X7+2*J32)/12</f>
        <v>92.5</v>
      </c>
      <c r="BB51" s="696"/>
      <c r="BC51" s="696"/>
      <c r="BD51" s="10" t="s">
        <v>13</v>
      </c>
      <c r="BE51" s="94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</row>
    <row r="52" spans="1:85" ht="16.5" customHeight="1">
      <c r="A52" s="92"/>
      <c r="B52" s="92"/>
      <c r="C52" s="92"/>
      <c r="D52" s="92"/>
      <c r="E52" s="3"/>
      <c r="F52" s="3"/>
      <c r="G52" s="3"/>
      <c r="H52" s="3"/>
      <c r="I52" s="3"/>
      <c r="J52" s="74"/>
      <c r="K52" s="61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75"/>
      <c r="BA52" s="3"/>
      <c r="BB52" s="3"/>
      <c r="BC52" s="3"/>
      <c r="BD52" s="3"/>
      <c r="BE52" s="94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</row>
    <row r="53" spans="1:85" ht="16.5" customHeight="1">
      <c r="A53" s="92"/>
      <c r="B53" s="92"/>
      <c r="C53" s="92"/>
      <c r="D53" s="92"/>
      <c r="E53" s="3"/>
      <c r="F53" s="3"/>
      <c r="G53" s="3"/>
      <c r="H53" s="3"/>
      <c r="I53" s="3"/>
      <c r="J53" s="74"/>
      <c r="K53" s="61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75"/>
      <c r="BA53" s="3"/>
      <c r="BB53" s="3"/>
      <c r="BC53" s="3"/>
      <c r="BD53" s="3"/>
      <c r="BE53" s="94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</row>
    <row r="54" spans="1:85" ht="16.5" customHeight="1">
      <c r="A54" s="92"/>
      <c r="B54" s="92"/>
      <c r="C54" s="92"/>
      <c r="D54" s="92"/>
      <c r="E54" s="3"/>
      <c r="F54" s="3"/>
      <c r="G54" s="3"/>
      <c r="H54" s="3"/>
      <c r="I54" s="3"/>
      <c r="J54" s="74"/>
      <c r="K54" s="61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75"/>
      <c r="BA54" s="3"/>
      <c r="BB54" s="3"/>
      <c r="BC54" s="3"/>
      <c r="BD54" s="3"/>
      <c r="BE54" s="94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</row>
    <row r="55" spans="1:85" ht="16.5" customHeight="1">
      <c r="A55" s="92"/>
      <c r="B55" s="92"/>
      <c r="C55" s="92"/>
      <c r="D55" s="92"/>
      <c r="E55" s="3"/>
      <c r="F55" s="3"/>
      <c r="G55" s="3"/>
      <c r="H55" s="3"/>
      <c r="I55" s="3"/>
      <c r="J55" s="674">
        <f>VLOOKUP($C$5,Data!B4:N7,5)</f>
        <v>32.4</v>
      </c>
      <c r="K55" s="675"/>
      <c r="L55" s="675"/>
      <c r="M55" s="69" t="s">
        <v>8</v>
      </c>
      <c r="N55" s="67" t="s">
        <v>46</v>
      </c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75"/>
      <c r="BA55" s="3"/>
      <c r="BB55" s="3"/>
      <c r="BC55" s="3"/>
      <c r="BD55" s="3"/>
      <c r="BE55" s="94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</row>
    <row r="56" spans="1:85" ht="16.5" customHeight="1">
      <c r="A56" s="92"/>
      <c r="B56" s="92"/>
      <c r="C56" s="92"/>
      <c r="D56" s="92"/>
      <c r="E56" s="3"/>
      <c r="F56" s="3"/>
      <c r="G56" s="3"/>
      <c r="H56" s="3"/>
      <c r="I56" s="3"/>
      <c r="J56" s="74"/>
      <c r="K56" s="61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75"/>
      <c r="BA56" s="3"/>
      <c r="BB56" s="3"/>
      <c r="BC56" s="3"/>
      <c r="BD56" s="3"/>
      <c r="BE56" s="94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</row>
    <row r="57" spans="1:85" ht="16.5" customHeight="1">
      <c r="A57" s="92"/>
      <c r="B57" s="92"/>
      <c r="C57" s="92"/>
      <c r="D57" s="92"/>
      <c r="E57" s="3"/>
      <c r="F57" s="3"/>
      <c r="G57" s="3"/>
      <c r="H57" s="3"/>
      <c r="I57" s="3"/>
      <c r="J57" s="74"/>
      <c r="K57" s="61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76">
        <f>C13</f>
        <v>15</v>
      </c>
      <c r="AA57" s="676"/>
      <c r="AB57" s="677" t="s">
        <v>45</v>
      </c>
      <c r="AC57" s="677"/>
      <c r="AD57" s="677"/>
      <c r="AE57" s="677"/>
      <c r="AF57" s="677"/>
      <c r="AG57" s="677"/>
      <c r="AH57" s="677"/>
      <c r="AI57" s="677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75"/>
      <c r="BA57" s="3"/>
      <c r="BB57" s="3"/>
      <c r="BC57" s="3"/>
      <c r="BD57" s="3"/>
      <c r="BE57" s="94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</row>
    <row r="58" spans="1:85" ht="16.5" customHeight="1">
      <c r="A58" s="92"/>
      <c r="B58" s="92"/>
      <c r="C58" s="92"/>
      <c r="D58" s="92"/>
      <c r="E58" s="3"/>
      <c r="F58" s="3"/>
      <c r="G58" s="3"/>
      <c r="H58" s="3"/>
      <c r="I58" s="3"/>
      <c r="J58" s="74"/>
      <c r="K58" s="61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76"/>
      <c r="AA58" s="676"/>
      <c r="AB58" s="677"/>
      <c r="AC58" s="677"/>
      <c r="AD58" s="677"/>
      <c r="AE58" s="677"/>
      <c r="AF58" s="677"/>
      <c r="AG58" s="677"/>
      <c r="AH58" s="677"/>
      <c r="AI58" s="677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75"/>
      <c r="BA58" s="3"/>
      <c r="BB58" s="3"/>
      <c r="BC58" s="3"/>
      <c r="BD58" s="3"/>
      <c r="BE58" s="94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</row>
    <row r="59" spans="1:85" ht="16.5" customHeight="1">
      <c r="A59" s="92"/>
      <c r="B59" s="92"/>
      <c r="C59" s="92"/>
      <c r="D59" s="92"/>
      <c r="E59" s="3"/>
      <c r="F59" s="3"/>
      <c r="G59" s="3"/>
      <c r="H59" s="3"/>
      <c r="I59" s="3"/>
      <c r="J59" s="76"/>
      <c r="K59" s="77"/>
      <c r="L59" s="78"/>
      <c r="M59" s="78"/>
      <c r="N59" s="78"/>
      <c r="O59" s="79"/>
      <c r="P59" s="78"/>
      <c r="Q59" s="78"/>
      <c r="R59" s="80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81"/>
      <c r="BA59" s="3"/>
      <c r="BB59" s="3"/>
      <c r="BC59" s="3"/>
      <c r="BD59" s="3"/>
      <c r="BE59" s="94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</row>
    <row r="60" spans="1:85" ht="16.5" customHeight="1">
      <c r="A60" s="92"/>
      <c r="B60" s="92"/>
      <c r="C60" s="92"/>
      <c r="D60" s="92"/>
      <c r="E60" s="3"/>
      <c r="F60" s="3"/>
      <c r="G60" s="3"/>
      <c r="H60" s="3"/>
      <c r="I60" s="3"/>
      <c r="J60" s="89"/>
      <c r="K60" s="89"/>
      <c r="L60" s="3"/>
      <c r="M60" s="3"/>
      <c r="N60" s="26"/>
      <c r="O60" s="95">
        <f>J32</f>
        <v>12</v>
      </c>
      <c r="P60" s="26" t="s">
        <v>8</v>
      </c>
      <c r="Q60" s="58" t="s">
        <v>46</v>
      </c>
      <c r="R60" s="58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94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</row>
    <row r="61" spans="1:85" ht="16.5" customHeight="1">
      <c r="A61" s="92"/>
      <c r="B61" s="92"/>
      <c r="C61" s="92"/>
      <c r="D61" s="92"/>
      <c r="E61" s="3"/>
      <c r="F61" s="3"/>
      <c r="G61" s="3"/>
      <c r="H61" s="3"/>
      <c r="I61" s="3"/>
      <c r="J61" s="89"/>
      <c r="K61" s="89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678">
        <f>(C13*AI7+2*AI8)/12</f>
        <v>65.774999999999991</v>
      </c>
      <c r="Z61" s="678"/>
      <c r="AA61" s="678"/>
      <c r="AB61" s="47" t="s">
        <v>13</v>
      </c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94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</row>
    <row r="62" spans="1:85" ht="16.5" customHeight="1">
      <c r="A62" s="92"/>
      <c r="B62" s="92"/>
      <c r="C62" s="92"/>
      <c r="D62" s="92"/>
      <c r="E62" s="3"/>
      <c r="F62" s="3"/>
      <c r="G62" s="3"/>
      <c r="H62" s="3"/>
      <c r="I62" s="3"/>
      <c r="J62" s="89"/>
      <c r="K62" s="89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94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</row>
    <row r="63" spans="1:85" ht="16.5" customHeight="1">
      <c r="A63" s="92"/>
      <c r="B63" s="92"/>
      <c r="C63" s="92"/>
      <c r="D63" s="92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</row>
    <row r="64" spans="1:85" ht="16.5" customHeight="1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</row>
    <row r="65" spans="1:85" ht="16.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</row>
    <row r="66" spans="1:85" ht="16.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</row>
    <row r="67" spans="1:85" ht="16.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</row>
    <row r="68" spans="1:85" ht="16.5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</row>
    <row r="69" spans="1:85" ht="16.5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</row>
    <row r="70" spans="1:85" ht="16.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</row>
    <row r="71" spans="1:85" ht="16.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</row>
    <row r="72" spans="1:85" ht="16.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</row>
    <row r="73" spans="1:85" ht="16.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</row>
    <row r="74" spans="1:85" ht="16.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</row>
    <row r="75" spans="1:85" ht="16.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</row>
    <row r="76" spans="1:85" ht="16.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</row>
    <row r="77" spans="1:85" ht="16.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</row>
    <row r="78" spans="1:85" ht="16.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</row>
    <row r="79" spans="1:85" ht="16.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</row>
    <row r="80" spans="1:85" ht="16.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</row>
    <row r="81" spans="1:85" ht="16.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</row>
    <row r="82" spans="1:85" ht="16.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</row>
    <row r="83" spans="1:85" ht="16.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</row>
    <row r="84" spans="1:85" ht="16.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</row>
    <row r="85" spans="1:85" ht="16.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</row>
    <row r="86" spans="1:85" ht="16.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</row>
    <row r="87" spans="1:85" ht="16.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</row>
    <row r="88" spans="1:85" ht="16.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</row>
    <row r="89" spans="1:85" ht="16.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</row>
    <row r="90" spans="1:85" ht="16.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</row>
    <row r="91" spans="1:85" ht="16.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</row>
    <row r="92" spans="1:85" ht="16.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</row>
    <row r="93" spans="1:85" ht="16.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</row>
    <row r="94" spans="1:85" ht="16.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</row>
    <row r="95" spans="1:85" ht="16.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</row>
    <row r="96" spans="1:85" ht="16.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</row>
    <row r="97" spans="1:85" ht="16.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</row>
    <row r="98" spans="1:85" ht="16.5" hidden="1" customHeight="1"/>
    <row r="99" spans="1:85" ht="16.5" hidden="1" customHeight="1"/>
    <row r="100" spans="1:85" ht="16.5" hidden="1" customHeight="1"/>
    <row r="101" spans="1:85" ht="16.5" hidden="1" customHeight="1"/>
    <row r="102" spans="1:85" ht="16.5" hidden="1" customHeight="1"/>
    <row r="103" spans="1:85" ht="16.5" hidden="1" customHeight="1"/>
    <row r="104" spans="1:85" ht="16.5" hidden="1" customHeight="1"/>
    <row r="105" spans="1:85" ht="16.5" hidden="1" customHeight="1"/>
    <row r="106" spans="1:85" ht="16.5" hidden="1" customHeight="1"/>
    <row r="107" spans="1:85" ht="16.5" hidden="1" customHeight="1"/>
    <row r="108" spans="1:85" ht="16.5" hidden="1" customHeight="1"/>
    <row r="109" spans="1:85" ht="16.5" hidden="1" customHeight="1"/>
    <row r="110" spans="1:85" ht="16.5" hidden="1" customHeight="1"/>
    <row r="111" spans="1:85" ht="16.5" hidden="1" customHeight="1"/>
    <row r="112" spans="1:85" ht="16.5" hidden="1" customHeight="1"/>
    <row r="113" ht="16.5" hidden="1" customHeight="1"/>
    <row r="114" ht="16.5" hidden="1" customHeight="1"/>
    <row r="115" ht="16.5" hidden="1" customHeight="1"/>
    <row r="116" ht="16.5" hidden="1" customHeight="1"/>
    <row r="117" ht="16.5" hidden="1" customHeight="1"/>
    <row r="118" ht="16.5" hidden="1" customHeight="1"/>
    <row r="119" ht="16.5" hidden="1" customHeight="1"/>
    <row r="120" ht="16.5" hidden="1" customHeight="1"/>
    <row r="121" ht="16.5" hidden="1" customHeight="1"/>
    <row r="122" ht="16.5" hidden="1" customHeight="1"/>
    <row r="123" ht="16.5" hidden="1" customHeight="1"/>
    <row r="124" ht="16.5" hidden="1" customHeight="1"/>
    <row r="125" ht="16.5" hidden="1" customHeight="1"/>
    <row r="126" ht="16.5" hidden="1" customHeight="1"/>
    <row r="127" ht="16.5" hidden="1" customHeight="1"/>
    <row r="128" ht="16.5" hidden="1" customHeight="1"/>
    <row r="129" ht="16.5" hidden="1" customHeight="1"/>
    <row r="130" ht="16.5" hidden="1" customHeight="1"/>
    <row r="131" ht="16.5" hidden="1" customHeight="1"/>
    <row r="132" ht="16.5" hidden="1" customHeight="1"/>
    <row r="133" ht="16.5" hidden="1" customHeight="1"/>
    <row r="134" ht="16.5" hidden="1" customHeight="1"/>
    <row r="135" ht="16.5" hidden="1" customHeight="1"/>
    <row r="136" ht="16.5" hidden="1" customHeight="1"/>
    <row r="137" ht="16.5" hidden="1" customHeight="1"/>
    <row r="138" ht="16.5" hidden="1" customHeight="1"/>
    <row r="139" ht="16.5" hidden="1" customHeight="1"/>
    <row r="140" ht="16.5" hidden="1" customHeight="1"/>
    <row r="141" ht="16.5" hidden="1" customHeight="1"/>
    <row r="142" ht="16.5" hidden="1" customHeight="1"/>
    <row r="143" ht="16.5" hidden="1" customHeight="1"/>
    <row r="144" ht="16.5" hidden="1" customHeight="1"/>
    <row r="145" ht="16.5" hidden="1" customHeight="1"/>
    <row r="146" ht="16.5" hidden="1" customHeight="1"/>
    <row r="147" ht="16.5" hidden="1" customHeight="1"/>
    <row r="148" ht="16.5" hidden="1" customHeight="1"/>
    <row r="149" ht="16.5" hidden="1" customHeight="1"/>
    <row r="150" ht="16.5" hidden="1" customHeight="1"/>
    <row r="151" ht="16.5" hidden="1" customHeight="1"/>
    <row r="152" ht="16.5" hidden="1" customHeight="1"/>
    <row r="153" ht="16.5" hidden="1" customHeight="1"/>
    <row r="154" ht="16.5" hidden="1" customHeight="1"/>
    <row r="155" ht="16.5" hidden="1" customHeight="1"/>
    <row r="156" ht="16.5" hidden="1" customHeight="1"/>
    <row r="157" ht="16.5" hidden="1" customHeight="1"/>
    <row r="158" ht="16.5" hidden="1" customHeight="1"/>
    <row r="159" ht="16.5" hidden="1" customHeight="1"/>
    <row r="160" ht="16.5" hidden="1" customHeight="1"/>
    <row r="161" ht="16.5" hidden="1" customHeight="1"/>
    <row r="162" ht="16.5" hidden="1" customHeight="1"/>
    <row r="163" ht="16.5" hidden="1" customHeight="1"/>
    <row r="164" ht="16.5" hidden="1" customHeight="1"/>
    <row r="165" ht="16.5" hidden="1" customHeight="1"/>
    <row r="166" ht="16.5" hidden="1" customHeight="1"/>
    <row r="167" ht="16.5" hidden="1" customHeight="1"/>
    <row r="168" ht="16.5" hidden="1" customHeight="1"/>
    <row r="169" ht="16.5" hidden="1" customHeight="1"/>
    <row r="170" ht="16.5" hidden="1" customHeight="1"/>
    <row r="171" ht="16.5" hidden="1" customHeight="1"/>
    <row r="172" ht="16.5" hidden="1" customHeight="1"/>
    <row r="173" ht="16.5" hidden="1" customHeight="1"/>
    <row r="174" ht="16.5" hidden="1" customHeight="1"/>
    <row r="175" ht="16.5" hidden="1" customHeight="1"/>
    <row r="176" ht="16.5" hidden="1" customHeight="1"/>
    <row r="177" ht="16.5" hidden="1" customHeight="1"/>
    <row r="178" ht="16.5" hidden="1" customHeight="1"/>
    <row r="179" ht="16.5" hidden="1" customHeight="1"/>
    <row r="180" ht="16.5" hidden="1" customHeight="1"/>
    <row r="181" ht="16.5" hidden="1" customHeight="1"/>
    <row r="182" ht="16.5" hidden="1" customHeight="1"/>
    <row r="183" ht="16.5" hidden="1" customHeight="1"/>
    <row r="184" ht="16.5" hidden="1" customHeight="1"/>
    <row r="185" ht="16.5" hidden="1" customHeight="1"/>
    <row r="186" ht="16.5" hidden="1" customHeight="1"/>
    <row r="187" ht="16.5" hidden="1" customHeight="1"/>
    <row r="188" ht="16.5" hidden="1" customHeight="1"/>
    <row r="189" ht="16.5" hidden="1" customHeight="1"/>
    <row r="190" ht="16.5" hidden="1" customHeight="1"/>
    <row r="191" ht="16.5" hidden="1" customHeight="1"/>
    <row r="192" ht="16.5" hidden="1" customHeight="1"/>
    <row r="193" ht="16.5" hidden="1" customHeight="1"/>
    <row r="194" ht="16.5" hidden="1" customHeight="1"/>
    <row r="195" ht="16.5" hidden="1" customHeight="1"/>
    <row r="196" ht="16.5" hidden="1" customHeight="1"/>
    <row r="197" ht="16.5" hidden="1" customHeight="1"/>
    <row r="198" ht="16.5" hidden="1" customHeight="1"/>
    <row r="199" ht="16.5" hidden="1" customHeight="1"/>
    <row r="200" ht="16.5" hidden="1" customHeight="1"/>
    <row r="201" ht="16.5" hidden="1" customHeight="1"/>
    <row r="202" ht="16.5" hidden="1" customHeight="1"/>
    <row r="203" ht="16.5" hidden="1" customHeight="1"/>
    <row r="204" ht="16.5" hidden="1" customHeight="1"/>
    <row r="205" ht="16.5" hidden="1" customHeight="1"/>
    <row r="206" ht="16.5" hidden="1" customHeight="1"/>
    <row r="207" ht="16.5" hidden="1" customHeight="1"/>
    <row r="208" ht="16.5" hidden="1" customHeight="1"/>
    <row r="209" ht="16.5" hidden="1" customHeight="1"/>
    <row r="210" ht="16.5" hidden="1" customHeight="1"/>
    <row r="211" ht="16.5" hidden="1" customHeight="1"/>
    <row r="212" ht="16.5" hidden="1" customHeight="1"/>
    <row r="213" ht="16.5" hidden="1" customHeight="1"/>
    <row r="214" ht="16.5" hidden="1" customHeight="1"/>
    <row r="215" ht="16.5" hidden="1" customHeight="1"/>
    <row r="216" ht="16.5" hidden="1" customHeight="1"/>
    <row r="217" ht="16.5" hidden="1" customHeight="1"/>
    <row r="218" ht="16.5" hidden="1" customHeight="1"/>
    <row r="219" ht="16.5" hidden="1" customHeight="1"/>
    <row r="220" ht="16.5" hidden="1" customHeight="1"/>
    <row r="221" ht="16.5" hidden="1" customHeight="1"/>
    <row r="222" ht="16.5" hidden="1" customHeight="1"/>
    <row r="223" ht="16.5" hidden="1" customHeight="1"/>
    <row r="224" ht="16.5" hidden="1" customHeight="1"/>
    <row r="225" ht="16.5" hidden="1" customHeight="1"/>
    <row r="226" ht="16.5" hidden="1" customHeight="1"/>
    <row r="227" ht="16.5" hidden="1" customHeight="1"/>
    <row r="228" ht="16.5" hidden="1" customHeight="1"/>
    <row r="229" ht="16.5" hidden="1" customHeight="1"/>
    <row r="230" ht="16.5" hidden="1" customHeight="1"/>
    <row r="231" ht="16.5" hidden="1" customHeight="1"/>
    <row r="232" ht="16.5" hidden="1" customHeight="1"/>
    <row r="233" ht="16.5" hidden="1" customHeight="1"/>
    <row r="234" ht="16.5" hidden="1" customHeight="1"/>
    <row r="235" ht="16.5" hidden="1" customHeight="1"/>
    <row r="236" ht="16.5" hidden="1" customHeight="1"/>
    <row r="237" ht="16.5" hidden="1" customHeight="1"/>
    <row r="238" ht="16.5" hidden="1" customHeight="1"/>
    <row r="239" ht="16.5" hidden="1" customHeight="1"/>
    <row r="240" ht="16.5" hidden="1" customHeight="1"/>
    <row r="241" ht="16.5" hidden="1" customHeight="1"/>
    <row r="242" ht="16.5" hidden="1" customHeight="1"/>
    <row r="243" ht="16.5" hidden="1" customHeight="1"/>
    <row r="244" ht="16.5" hidden="1" customHeight="1"/>
    <row r="245" ht="16.5" hidden="1" customHeight="1"/>
    <row r="246" ht="16.5" hidden="1" customHeight="1"/>
    <row r="247" ht="16.5" hidden="1" customHeight="1"/>
    <row r="248" ht="16.5" hidden="1" customHeight="1"/>
    <row r="249" ht="16.5" hidden="1" customHeight="1"/>
    <row r="250" ht="16.5" hidden="1" customHeight="1"/>
    <row r="251" ht="16.5" hidden="1" customHeight="1"/>
    <row r="252" ht="16.5" hidden="1" customHeight="1"/>
    <row r="253" ht="16.5" hidden="1" customHeight="1"/>
    <row r="254" ht="16.5" hidden="1" customHeight="1"/>
    <row r="255" ht="16.5" hidden="1" customHeight="1"/>
    <row r="256" ht="16.5" hidden="1" customHeight="1"/>
    <row r="257" ht="16.5" hidden="1" customHeight="1"/>
    <row r="258" ht="16.5" hidden="1" customHeight="1"/>
    <row r="259" ht="16.5" hidden="1" customHeight="1"/>
    <row r="260" ht="16.5" hidden="1" customHeight="1"/>
    <row r="261" ht="16.5" hidden="1" customHeight="1"/>
    <row r="262" ht="16.5" hidden="1" customHeight="1"/>
    <row r="263" ht="16.5" hidden="1" customHeight="1"/>
    <row r="264" ht="16.5" hidden="1" customHeight="1"/>
    <row r="265" ht="16.5" hidden="1" customHeight="1"/>
    <row r="266" ht="16.5" hidden="1" customHeight="1"/>
    <row r="267" ht="16.5" hidden="1" customHeight="1"/>
    <row r="268" ht="16.5" hidden="1" customHeight="1"/>
    <row r="269" ht="16.5" hidden="1" customHeight="1"/>
    <row r="270" ht="16.5" hidden="1" customHeight="1"/>
    <row r="271" ht="16.5" hidden="1" customHeight="1"/>
    <row r="272" ht="16.5" hidden="1" customHeight="1"/>
    <row r="273" ht="16.5" hidden="1" customHeight="1"/>
    <row r="274" ht="16.5" hidden="1" customHeight="1"/>
    <row r="275" ht="16.5" hidden="1" customHeight="1"/>
    <row r="276" ht="16.5" hidden="1" customHeight="1"/>
    <row r="277" ht="16.5" hidden="1" customHeight="1"/>
    <row r="278" ht="16.5" hidden="1" customHeight="1"/>
    <row r="279" ht="16.5" hidden="1" customHeight="1"/>
    <row r="280" ht="16.5" hidden="1" customHeight="1"/>
  </sheetData>
  <sheetProtection algorithmName="SHA-512" hashValue="jvR7mtZqWEQFWZjlzKTX29r3RZ8MOM+X6JsIbht20cZwezNDsGjNTNIMrtcE6LjU5U7PkTIYoepC/STbdK9ukg==" saltValue="4oL7HP9wBCAOFaHrwoy8fQ==" spinCount="100000" sheet="1" objects="1" scenarios="1" selectLockedCells="1"/>
  <mergeCells count="101">
    <mergeCell ref="A19:D20"/>
    <mergeCell ref="A5:B5"/>
    <mergeCell ref="AR5:BC5"/>
    <mergeCell ref="X6:Y6"/>
    <mergeCell ref="AI6:AJ6"/>
    <mergeCell ref="X7:Y7"/>
    <mergeCell ref="AI7:AJ7"/>
    <mergeCell ref="AR7:BC7"/>
    <mergeCell ref="J8:M8"/>
    <mergeCell ref="P8:Q8"/>
    <mergeCell ref="X8:Y8"/>
    <mergeCell ref="AI8:AJ8"/>
    <mergeCell ref="I9:J9"/>
    <mergeCell ref="K9:L9"/>
    <mergeCell ref="AI9:AJ9"/>
    <mergeCell ref="AR9:BC9"/>
    <mergeCell ref="I10:N10"/>
    <mergeCell ref="AI10:AJ10"/>
    <mergeCell ref="K11:L11"/>
    <mergeCell ref="X11:Y11"/>
    <mergeCell ref="AI11:AJ11"/>
    <mergeCell ref="AU11:BC11"/>
    <mergeCell ref="AF12:AG12"/>
    <mergeCell ref="AX13:BA13"/>
    <mergeCell ref="R14:X14"/>
    <mergeCell ref="Y14:AA14"/>
    <mergeCell ref="AD14:AG14"/>
    <mergeCell ref="AH14:AJ14"/>
    <mergeCell ref="AQ17:AR17"/>
    <mergeCell ref="AH15:AJ15"/>
    <mergeCell ref="C14:D14"/>
    <mergeCell ref="G16:M16"/>
    <mergeCell ref="O16:P16"/>
    <mergeCell ref="R16:X16"/>
    <mergeCell ref="Y16:AA16"/>
    <mergeCell ref="AD16:AI16"/>
    <mergeCell ref="AJ16:AL16"/>
    <mergeCell ref="G15:M15"/>
    <mergeCell ref="O15:P15"/>
    <mergeCell ref="R15:X15"/>
    <mergeCell ref="Y15:AA15"/>
    <mergeCell ref="AD15:AG15"/>
    <mergeCell ref="G17:M17"/>
    <mergeCell ref="O17:P17"/>
    <mergeCell ref="R17:X17"/>
    <mergeCell ref="Y17:AA17"/>
    <mergeCell ref="AP25:BB25"/>
    <mergeCell ref="AI26:AJ26"/>
    <mergeCell ref="AP26:BB26"/>
    <mergeCell ref="AF27:AH28"/>
    <mergeCell ref="AI27:AK28"/>
    <mergeCell ref="AP27:BB27"/>
    <mergeCell ref="AP28:BB28"/>
    <mergeCell ref="AP29:BB29"/>
    <mergeCell ref="AO17:AP17"/>
    <mergeCell ref="AP24:BB24"/>
    <mergeCell ref="AO18:AP18"/>
    <mergeCell ref="AQ18:AR18"/>
    <mergeCell ref="AO19:AP19"/>
    <mergeCell ref="AQ19:AW19"/>
    <mergeCell ref="AO20:AP20"/>
    <mergeCell ref="AQ20:AX20"/>
    <mergeCell ref="AP23:BB23"/>
    <mergeCell ref="AP30:BB30"/>
    <mergeCell ref="AP31:BB31"/>
    <mergeCell ref="J32:K32"/>
    <mergeCell ref="R32:S32"/>
    <mergeCell ref="AA32:AB32"/>
    <mergeCell ref="AP32:BB32"/>
    <mergeCell ref="BA51:BC51"/>
    <mergeCell ref="S33:U33"/>
    <mergeCell ref="V33:Z33"/>
    <mergeCell ref="AP33:BB33"/>
    <mergeCell ref="AP34:BB34"/>
    <mergeCell ref="AF39:AH39"/>
    <mergeCell ref="Z42:AA43"/>
    <mergeCell ref="AB42:AG43"/>
    <mergeCell ref="A8:B8"/>
    <mergeCell ref="A9:D9"/>
    <mergeCell ref="A12:B12"/>
    <mergeCell ref="A13:B13"/>
    <mergeCell ref="A14:B14"/>
    <mergeCell ref="J55:L55"/>
    <mergeCell ref="Z57:AA58"/>
    <mergeCell ref="AB57:AI58"/>
    <mergeCell ref="Y61:AA61"/>
    <mergeCell ref="G36:AE37"/>
    <mergeCell ref="Q45:R45"/>
    <mergeCell ref="F49:H49"/>
    <mergeCell ref="N49:W49"/>
    <mergeCell ref="X49:Z49"/>
    <mergeCell ref="AF50:AG50"/>
    <mergeCell ref="AG30:AH30"/>
    <mergeCell ref="AG25:AH25"/>
    <mergeCell ref="G18:M18"/>
    <mergeCell ref="N18:P18"/>
    <mergeCell ref="Z18:AA18"/>
    <mergeCell ref="H20:X22"/>
    <mergeCell ref="H23:I23"/>
    <mergeCell ref="G14:M14"/>
    <mergeCell ref="O14:P14"/>
  </mergeCells>
  <hyperlinks>
    <hyperlink ref="A19:D20" location="Index!A1" display="RETURN TO INDEX" xr:uid="{00000000-0004-0000-0100-000000000000}"/>
  </hyperlinks>
  <printOptions horizontalCentered="1"/>
  <pageMargins left="0.25" right="0.25" top="0.75" bottom="1" header="0.3" footer="0.3"/>
  <pageSetup scale="61" orientation="portrait" r:id="rId1"/>
  <headerFoot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Drop Down 1">
              <controlPr defaultSize="0" autoLine="0" autoPict="0">
                <anchor moveWithCells="1">
                  <from>
                    <xdr:col>1</xdr:col>
                    <xdr:colOff>581025</xdr:colOff>
                    <xdr:row>4</xdr:row>
                    <xdr:rowOff>0</xdr:rowOff>
                  </from>
                  <to>
                    <xdr:col>3</xdr:col>
                    <xdr:colOff>123825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Drop Down 2">
              <controlPr defaultSize="0" autoLine="0" autoPict="0">
                <anchor moveWithCells="1">
                  <from>
                    <xdr:col>1</xdr:col>
                    <xdr:colOff>581025</xdr:colOff>
                    <xdr:row>6</xdr:row>
                    <xdr:rowOff>200025</xdr:rowOff>
                  </from>
                  <to>
                    <xdr:col>3</xdr:col>
                    <xdr:colOff>123825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CH281"/>
  <sheetViews>
    <sheetView zoomScaleNormal="100" workbookViewId="0">
      <selection activeCell="C2" sqref="C2"/>
    </sheetView>
  </sheetViews>
  <sheetFormatPr defaultColWidth="0" defaultRowHeight="15" zeroHeight="1"/>
  <cols>
    <col min="1" max="1" width="14.42578125" customWidth="1"/>
    <col min="2" max="3" width="10.7109375" customWidth="1"/>
    <col min="4" max="4" width="7.7109375" customWidth="1"/>
    <col min="5" max="81" width="3.140625" customWidth="1"/>
    <col min="82" max="86" width="9.140625" customWidth="1"/>
    <col min="87" max="16384" width="9.140625" hidden="1"/>
  </cols>
  <sheetData>
    <row r="1" spans="1:86" s="92" customFormat="1" ht="18.75">
      <c r="A1" s="295" t="s">
        <v>191</v>
      </c>
      <c r="E1" s="94"/>
      <c r="F1" s="94"/>
      <c r="G1" s="94"/>
      <c r="H1" s="59" t="s">
        <v>0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</row>
    <row r="2" spans="1:86" ht="16.5" customHeight="1">
      <c r="A2" s="291" t="s">
        <v>209</v>
      </c>
      <c r="B2" s="210"/>
      <c r="C2" s="286">
        <v>21656.1</v>
      </c>
      <c r="D2" s="210"/>
      <c r="E2" s="162"/>
      <c r="F2" s="102"/>
      <c r="G2" s="11"/>
      <c r="H2" s="60" t="s">
        <v>1</v>
      </c>
      <c r="I2" s="11"/>
      <c r="J2" s="11"/>
      <c r="K2" s="11"/>
      <c r="L2" s="45"/>
      <c r="M2" s="3"/>
      <c r="N2" s="4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94"/>
      <c r="BG2" s="94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</row>
    <row r="3" spans="1:86" ht="16.5" customHeight="1">
      <c r="A3" s="210"/>
      <c r="B3" s="92"/>
      <c r="C3" s="210"/>
      <c r="D3" s="210"/>
      <c r="E3" s="162"/>
      <c r="F3" s="102"/>
      <c r="G3" s="6"/>
      <c r="I3" s="24"/>
      <c r="J3" s="54"/>
      <c r="K3" s="54"/>
      <c r="L3" s="25"/>
      <c r="M3" s="4"/>
      <c r="N3" s="4"/>
      <c r="O3" s="4"/>
      <c r="P3" s="2"/>
      <c r="Q3" s="2"/>
      <c r="R3" s="2"/>
      <c r="S3" s="4"/>
      <c r="T3" s="4"/>
      <c r="U3" s="4"/>
      <c r="V3" s="4"/>
      <c r="W3" s="4"/>
      <c r="X3" s="29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94"/>
      <c r="BG3" s="94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</row>
    <row r="4" spans="1:86" ht="16.5" customHeight="1">
      <c r="A4" s="297" t="s">
        <v>190</v>
      </c>
      <c r="B4" s="92"/>
      <c r="C4" s="92"/>
      <c r="D4" s="210"/>
      <c r="E4" s="162"/>
      <c r="F4" s="103"/>
      <c r="G4" s="28"/>
      <c r="H4" s="28"/>
      <c r="I4" s="54"/>
      <c r="J4" s="54"/>
      <c r="K4" s="54"/>
      <c r="L4" s="28"/>
      <c r="M4" s="4"/>
      <c r="N4" s="47" t="s">
        <v>2</v>
      </c>
      <c r="O4" s="4"/>
      <c r="P4" s="28"/>
      <c r="Q4" s="28"/>
      <c r="R4" s="28"/>
      <c r="S4" s="4"/>
      <c r="T4" s="4"/>
      <c r="U4" s="4"/>
      <c r="V4" s="4"/>
      <c r="W4" s="4"/>
      <c r="X4" s="29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94"/>
      <c r="BG4" s="94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</row>
    <row r="5" spans="1:86" ht="16.5" customHeight="1">
      <c r="A5" s="668" t="s">
        <v>22</v>
      </c>
      <c r="B5" s="668"/>
      <c r="C5" s="38">
        <v>2</v>
      </c>
      <c r="D5" s="225"/>
      <c r="E5" s="162"/>
      <c r="F5" s="104"/>
      <c r="G5" s="28"/>
      <c r="H5" s="28"/>
      <c r="I5" s="55"/>
      <c r="J5" s="55"/>
      <c r="K5" s="56"/>
      <c r="L5" s="28"/>
      <c r="M5" s="28"/>
      <c r="N5" s="94"/>
      <c r="O5" s="28"/>
      <c r="P5" s="28"/>
      <c r="Q5" s="28"/>
      <c r="R5" s="28"/>
      <c r="S5" s="11" t="s">
        <v>26</v>
      </c>
      <c r="T5" s="94"/>
      <c r="U5" s="94"/>
      <c r="V5" s="96"/>
      <c r="W5" s="110"/>
      <c r="X5" s="110"/>
      <c r="Y5" s="96"/>
      <c r="Z5" s="31"/>
      <c r="AA5" s="31"/>
      <c r="AB5" s="31"/>
      <c r="AC5" s="96"/>
      <c r="AD5" s="33" t="s">
        <v>70</v>
      </c>
      <c r="AE5" s="116"/>
      <c r="AF5" s="31"/>
      <c r="AG5" s="31"/>
      <c r="AH5" s="31"/>
      <c r="AI5" s="31"/>
      <c r="AJ5" s="31"/>
      <c r="AK5" s="31"/>
      <c r="AL5" s="31"/>
      <c r="AM5" s="94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94"/>
      <c r="BG5" s="94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</row>
    <row r="6" spans="1:86" ht="16.5" customHeight="1">
      <c r="A6" s="92"/>
      <c r="B6" s="225"/>
      <c r="C6" s="225"/>
      <c r="D6" s="225"/>
      <c r="E6" s="162"/>
      <c r="F6" s="96"/>
      <c r="G6" s="28"/>
      <c r="H6" s="28"/>
      <c r="I6" s="189"/>
      <c r="J6" s="189"/>
      <c r="K6" s="189"/>
      <c r="L6" s="25"/>
      <c r="M6" s="178"/>
      <c r="N6" s="178"/>
      <c r="O6" s="178"/>
      <c r="P6" s="178"/>
      <c r="Q6" s="178"/>
      <c r="R6" s="186"/>
      <c r="S6" s="187" t="s">
        <v>29</v>
      </c>
      <c r="T6" s="187"/>
      <c r="U6" s="187"/>
      <c r="V6" s="187"/>
      <c r="W6" s="187"/>
      <c r="X6" s="187"/>
      <c r="Y6" s="187"/>
      <c r="Z6" s="737">
        <f>Y13*O13</f>
        <v>280</v>
      </c>
      <c r="AA6" s="737"/>
      <c r="AB6" s="94"/>
      <c r="AC6" s="94"/>
      <c r="AD6" s="194" t="s">
        <v>159</v>
      </c>
      <c r="AE6" s="194"/>
      <c r="AF6" s="194"/>
      <c r="AG6" s="194"/>
      <c r="AH6" s="194"/>
      <c r="AI6" s="94"/>
      <c r="AJ6" s="736">
        <f>P53+S48*S53</f>
        <v>46.707669683400596</v>
      </c>
      <c r="AK6" s="736"/>
      <c r="AL6" s="29" t="s">
        <v>30</v>
      </c>
      <c r="AM6" s="94"/>
      <c r="AN6" s="3"/>
      <c r="AO6" s="3"/>
      <c r="AP6" s="36" t="s">
        <v>4</v>
      </c>
      <c r="AQ6" s="35"/>
      <c r="AR6" s="35"/>
      <c r="AS6" s="716"/>
      <c r="AT6" s="716"/>
      <c r="AU6" s="716"/>
      <c r="AV6" s="716"/>
      <c r="AW6" s="716"/>
      <c r="AX6" s="716"/>
      <c r="AY6" s="716"/>
      <c r="AZ6" s="716"/>
      <c r="BA6" s="716"/>
      <c r="BB6" s="716"/>
      <c r="BC6" s="716"/>
      <c r="BD6" s="716"/>
      <c r="BE6" s="28"/>
      <c r="BF6" s="94"/>
      <c r="BG6" s="94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</row>
    <row r="7" spans="1:86" ht="16.5" customHeight="1">
      <c r="A7" s="298" t="s">
        <v>192</v>
      </c>
      <c r="B7" s="225"/>
      <c r="C7" s="225"/>
      <c r="D7" s="225"/>
      <c r="E7" s="162"/>
      <c r="F7" s="96"/>
      <c r="G7" s="91"/>
      <c r="H7" s="22"/>
      <c r="I7" s="22"/>
      <c r="J7" s="22"/>
      <c r="K7" s="761" t="str">
        <f>VLOOKUP($C$5,Data!$B$4:$L$7,2)</f>
        <v>SK75</v>
      </c>
      <c r="L7" s="761"/>
      <c r="M7" s="761"/>
      <c r="N7" s="761"/>
      <c r="O7" s="178"/>
      <c r="P7" s="178"/>
      <c r="Q7" s="738">
        <f>VLOOKUP($C$5,Data!$B$4:$L$7,7)</f>
        <v>29.7</v>
      </c>
      <c r="R7" s="738"/>
      <c r="S7" s="185" t="s">
        <v>32</v>
      </c>
      <c r="T7" s="185"/>
      <c r="U7" s="185"/>
      <c r="V7" s="185"/>
      <c r="W7" s="185"/>
      <c r="X7" s="185"/>
      <c r="Y7" s="185"/>
      <c r="Z7" s="749">
        <f>VLOOKUP($C$5,Data!$B$4:$L$7,3)</f>
        <v>46.4</v>
      </c>
      <c r="AA7" s="749"/>
      <c r="AB7" s="29" t="s">
        <v>30</v>
      </c>
      <c r="AC7" s="94"/>
      <c r="AD7" s="179" t="s">
        <v>160</v>
      </c>
      <c r="AE7" s="167"/>
      <c r="AF7" s="167"/>
      <c r="AG7" s="167"/>
      <c r="AH7" s="167"/>
      <c r="AI7" s="167"/>
      <c r="AJ7" s="167"/>
      <c r="AK7" s="167"/>
      <c r="AL7" s="167"/>
      <c r="AM7" s="94"/>
      <c r="AN7" s="3"/>
      <c r="AO7" s="3"/>
      <c r="AP7" s="35"/>
      <c r="AQ7" s="35"/>
      <c r="AR7" s="35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94"/>
      <c r="BG7" s="94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</row>
    <row r="8" spans="1:86" ht="16.5" customHeight="1">
      <c r="A8" s="668" t="s">
        <v>5</v>
      </c>
      <c r="B8" s="669"/>
      <c r="C8" s="38">
        <v>7</v>
      </c>
      <c r="D8" s="225"/>
      <c r="E8" s="162"/>
      <c r="F8" s="96"/>
      <c r="G8" s="11"/>
      <c r="H8" s="11"/>
      <c r="I8" s="11"/>
      <c r="J8" s="721" t="s">
        <v>15</v>
      </c>
      <c r="K8" s="717"/>
      <c r="L8" s="762">
        <f>VLOOKUP($C$5,Data!$B$4:$L$7,3)/(VLOOKUP($C$5,Data!$B$4:$L$7,4)/12)</f>
        <v>6.5583038869257946</v>
      </c>
      <c r="M8" s="762"/>
      <c r="N8" s="190" t="s">
        <v>16</v>
      </c>
      <c r="O8" s="93"/>
      <c r="P8" s="93"/>
      <c r="Q8" s="738"/>
      <c r="R8" s="738"/>
      <c r="S8" s="185" t="s">
        <v>33</v>
      </c>
      <c r="T8" s="185"/>
      <c r="U8" s="185"/>
      <c r="V8" s="185"/>
      <c r="W8" s="185"/>
      <c r="X8" s="185"/>
      <c r="Y8" s="185"/>
      <c r="Z8" s="737">
        <f>2*Y13</f>
        <v>14</v>
      </c>
      <c r="AA8" s="737"/>
      <c r="AB8" s="94"/>
      <c r="AC8" s="94"/>
      <c r="AD8" s="188" t="s">
        <v>173</v>
      </c>
      <c r="AE8" s="180"/>
      <c r="AF8" s="180"/>
      <c r="AG8" s="180"/>
      <c r="AH8" s="180"/>
      <c r="AI8" s="180"/>
      <c r="AJ8" s="180"/>
      <c r="AK8" s="180"/>
      <c r="AL8" s="180"/>
      <c r="AM8" s="94"/>
      <c r="AN8" s="3"/>
      <c r="AO8" s="3"/>
      <c r="AP8" s="37" t="s">
        <v>10</v>
      </c>
      <c r="AQ8" s="3"/>
      <c r="AR8" s="3"/>
      <c r="AS8" s="716"/>
      <c r="AT8" s="716"/>
      <c r="AU8" s="716"/>
      <c r="AV8" s="716"/>
      <c r="AW8" s="716"/>
      <c r="AX8" s="716"/>
      <c r="AY8" s="716"/>
      <c r="AZ8" s="716"/>
      <c r="BA8" s="716"/>
      <c r="BB8" s="716"/>
      <c r="BC8" s="716"/>
      <c r="BD8" s="716"/>
      <c r="BE8" s="3"/>
      <c r="BF8" s="94"/>
      <c r="BG8" s="94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</row>
    <row r="9" spans="1:86" ht="16.5" customHeight="1">
      <c r="A9" s="670" t="s">
        <v>211</v>
      </c>
      <c r="B9" s="670"/>
      <c r="C9" s="670"/>
      <c r="D9" s="670"/>
      <c r="E9" s="91"/>
      <c r="F9" s="3"/>
      <c r="G9" s="11"/>
      <c r="H9" s="11"/>
      <c r="I9" s="11"/>
      <c r="J9" s="760" t="s">
        <v>19</v>
      </c>
      <c r="K9" s="760"/>
      <c r="L9" s="760"/>
      <c r="M9" s="760"/>
      <c r="N9" s="760"/>
      <c r="O9" s="760"/>
      <c r="P9" s="93"/>
      <c r="Q9" s="94"/>
      <c r="R9" s="94"/>
      <c r="S9" s="185" t="s">
        <v>36</v>
      </c>
      <c r="T9" s="185"/>
      <c r="U9" s="185"/>
      <c r="V9" s="185"/>
      <c r="W9" s="185"/>
      <c r="X9" s="185"/>
      <c r="Y9" s="185"/>
      <c r="Z9" s="749">
        <f>VLOOKUP($C$5,Data!$B$4:$M$7,12)</f>
        <v>2.73</v>
      </c>
      <c r="AA9" s="749"/>
      <c r="AB9" s="29" t="s">
        <v>30</v>
      </c>
      <c r="AC9" s="94"/>
      <c r="AD9" s="194" t="s">
        <v>172</v>
      </c>
      <c r="AE9" s="194"/>
      <c r="AF9" s="194"/>
      <c r="AG9" s="194"/>
      <c r="AH9" s="194"/>
      <c r="AI9" s="194"/>
      <c r="AJ9" s="748">
        <f>P54+S48*S54</f>
        <v>65.256406298751372</v>
      </c>
      <c r="AK9" s="748"/>
      <c r="AL9" s="29" t="s">
        <v>30</v>
      </c>
      <c r="AM9" s="94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94"/>
      <c r="BG9" s="94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</row>
    <row r="10" spans="1:86" ht="16.5" customHeight="1">
      <c r="A10" s="92"/>
      <c r="B10" s="114"/>
      <c r="C10" s="114"/>
      <c r="D10" s="97"/>
      <c r="E10" s="163"/>
      <c r="F10" s="96"/>
      <c r="G10" s="3"/>
      <c r="H10" s="3"/>
      <c r="I10" s="3"/>
      <c r="J10" s="94"/>
      <c r="K10" s="94"/>
      <c r="L10" s="770">
        <f>VLOOKUP($C$5,Data!$B$4:$L$7,6)</f>
        <v>51</v>
      </c>
      <c r="M10" s="770"/>
      <c r="N10" s="94"/>
      <c r="O10" s="93"/>
      <c r="P10" s="93"/>
      <c r="Q10" s="93"/>
      <c r="R10" s="96"/>
      <c r="S10" s="177" t="s">
        <v>180</v>
      </c>
      <c r="T10" s="185"/>
      <c r="U10" s="185"/>
      <c r="V10" s="185"/>
      <c r="W10" s="185"/>
      <c r="X10" s="185"/>
      <c r="Y10" s="739">
        <f>Z6*Z7+Z8*Z9</f>
        <v>13030.22</v>
      </c>
      <c r="Z10" s="739"/>
      <c r="AA10" s="739"/>
      <c r="AB10" s="29" t="s">
        <v>30</v>
      </c>
      <c r="AC10" s="94"/>
      <c r="AD10" s="179" t="s">
        <v>164</v>
      </c>
      <c r="AE10" s="167"/>
      <c r="AF10" s="3"/>
      <c r="AG10" s="3"/>
      <c r="AH10" s="3"/>
      <c r="AI10" s="3"/>
      <c r="AJ10" s="3"/>
      <c r="AK10" s="3"/>
      <c r="AL10" s="157"/>
      <c r="AM10" s="94"/>
      <c r="AN10" s="11"/>
      <c r="AO10" s="23"/>
      <c r="AP10" s="37" t="s">
        <v>18</v>
      </c>
      <c r="AQ10" s="3"/>
      <c r="AR10" s="3"/>
      <c r="AS10" s="716"/>
      <c r="AT10" s="716"/>
      <c r="AU10" s="716"/>
      <c r="AV10" s="716"/>
      <c r="AW10" s="716"/>
      <c r="AX10" s="716"/>
      <c r="AY10" s="716"/>
      <c r="AZ10" s="716"/>
      <c r="BA10" s="716"/>
      <c r="BB10" s="716"/>
      <c r="BC10" s="716"/>
      <c r="BD10" s="716"/>
      <c r="BE10" s="3"/>
      <c r="BF10" s="94"/>
      <c r="BG10" s="94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</row>
    <row r="11" spans="1:86" ht="16.5" customHeight="1">
      <c r="A11" s="300" t="s">
        <v>189</v>
      </c>
      <c r="B11" s="113"/>
      <c r="C11" s="1"/>
      <c r="D11" s="113"/>
      <c r="E11" s="164"/>
      <c r="F11" s="96"/>
      <c r="G11" s="3"/>
      <c r="H11" s="3"/>
      <c r="I11" s="3"/>
      <c r="J11" s="94"/>
      <c r="K11" s="94"/>
      <c r="L11" s="770"/>
      <c r="M11" s="770"/>
      <c r="N11" s="94"/>
      <c r="O11" s="94"/>
      <c r="P11" s="93"/>
      <c r="Q11" s="93"/>
      <c r="R11" s="96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1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94"/>
      <c r="BG11" s="94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</row>
    <row r="12" spans="1:86" ht="16.5" customHeight="1">
      <c r="A12" s="303" t="str">
        <f>IF(C5=1,"Only SK31 options apply.","SK31 options DO NOT apply.")</f>
        <v>SK31 options DO NOT apply.</v>
      </c>
      <c r="B12" s="287"/>
      <c r="C12" s="303" t="str">
        <f>IF(C5=1,"Mainline x Stub","")</f>
        <v/>
      </c>
      <c r="D12" s="92"/>
      <c r="E12" s="165"/>
      <c r="F12" s="96"/>
      <c r="G12" s="94"/>
      <c r="H12" s="30" t="s">
        <v>3</v>
      </c>
      <c r="I12" s="31"/>
      <c r="J12" s="31"/>
      <c r="K12" s="31"/>
      <c r="L12" s="31"/>
      <c r="M12" s="31"/>
      <c r="N12" s="31"/>
      <c r="O12" s="31"/>
      <c r="P12" s="31"/>
      <c r="Q12" s="192"/>
      <c r="R12" s="96"/>
      <c r="S12" s="30" t="s">
        <v>198</v>
      </c>
      <c r="T12" s="31"/>
      <c r="U12" s="31"/>
      <c r="V12" s="31"/>
      <c r="W12" s="31"/>
      <c r="X12" s="31"/>
      <c r="Y12" s="31"/>
      <c r="Z12" s="31"/>
      <c r="AA12" s="116"/>
      <c r="AB12" s="27"/>
      <c r="AC12" s="94"/>
      <c r="AD12" s="201" t="s">
        <v>176</v>
      </c>
      <c r="AE12" s="116"/>
      <c r="AF12" s="116"/>
      <c r="AG12" s="116"/>
      <c r="AH12" s="116"/>
      <c r="AI12" s="116"/>
      <c r="AJ12" s="116"/>
      <c r="AK12" s="116"/>
      <c r="AL12" s="116"/>
      <c r="AM12" s="94"/>
      <c r="AN12" s="3"/>
      <c r="AO12" s="3"/>
      <c r="AP12" s="37" t="s">
        <v>25</v>
      </c>
      <c r="AQ12" s="3"/>
      <c r="AR12" s="3"/>
      <c r="AS12" s="3"/>
      <c r="AT12" s="3"/>
      <c r="AU12" s="3"/>
      <c r="AV12" s="716"/>
      <c r="AW12" s="716"/>
      <c r="AX12" s="716"/>
      <c r="AY12" s="716"/>
      <c r="AZ12" s="716"/>
      <c r="BA12" s="716"/>
      <c r="BB12" s="716"/>
      <c r="BC12" s="716"/>
      <c r="BD12" s="716"/>
      <c r="BE12" s="3"/>
      <c r="BF12" s="94"/>
      <c r="BG12" s="94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</row>
    <row r="13" spans="1:86" ht="16.5" customHeight="1" thickBot="1">
      <c r="A13" s="756" t="s">
        <v>685</v>
      </c>
      <c r="B13" s="756"/>
      <c r="C13" s="241">
        <v>22</v>
      </c>
      <c r="D13" s="217"/>
      <c r="E13" s="96"/>
      <c r="F13" s="96"/>
      <c r="G13" s="94"/>
      <c r="H13" s="773" t="s">
        <v>6</v>
      </c>
      <c r="I13" s="773"/>
      <c r="J13" s="773"/>
      <c r="K13" s="773"/>
      <c r="L13" s="773"/>
      <c r="M13" s="773"/>
      <c r="N13" s="773"/>
      <c r="O13" s="717">
        <f>C25</f>
        <v>40</v>
      </c>
      <c r="P13" s="717"/>
      <c r="Q13" s="93"/>
      <c r="R13" s="96"/>
      <c r="S13" s="193" t="s">
        <v>5</v>
      </c>
      <c r="T13" s="193"/>
      <c r="U13" s="193"/>
      <c r="V13" s="193"/>
      <c r="W13" s="193"/>
      <c r="X13" s="94"/>
      <c r="Y13" s="717">
        <f>C8</f>
        <v>7</v>
      </c>
      <c r="Z13" s="717"/>
      <c r="AA13" s="94"/>
      <c r="AB13" s="3"/>
      <c r="AC13" s="94"/>
      <c r="AD13" s="746" t="s">
        <v>177</v>
      </c>
      <c r="AE13" s="746"/>
      <c r="AF13" s="746"/>
      <c r="AG13" s="746"/>
      <c r="AH13" s="746"/>
      <c r="AI13" s="757">
        <f>X20-AJ9-Y10</f>
        <v>21927.282678336669</v>
      </c>
      <c r="AJ13" s="757"/>
      <c r="AK13" s="757"/>
      <c r="AL13" s="29" t="s">
        <v>30</v>
      </c>
      <c r="AM13" s="9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94"/>
      <c r="BG13" s="94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</row>
    <row r="14" spans="1:86" ht="16.5" customHeight="1" thickBot="1">
      <c r="A14" s="303" t="str">
        <f>IF(C5=2,"Only SK75 options apply.","SK75 options DO NOT apply.")</f>
        <v>Only SK75 options apply.</v>
      </c>
      <c r="B14" s="92"/>
      <c r="C14" s="303" t="str">
        <f>IF(C5=2,"Mainline x Stub","")</f>
        <v>Mainline x Stub</v>
      </c>
      <c r="D14" s="92"/>
      <c r="E14" s="165"/>
      <c r="F14" s="96"/>
      <c r="G14" s="94"/>
      <c r="H14" s="758" t="s">
        <v>9</v>
      </c>
      <c r="I14" s="758"/>
      <c r="J14" s="758"/>
      <c r="K14" s="758"/>
      <c r="L14" s="758"/>
      <c r="M14" s="758"/>
      <c r="N14" s="758"/>
      <c r="O14" s="718">
        <f>VLOOKUP($C$5,Data!$B$4:$L$7,4)</f>
        <v>84.9</v>
      </c>
      <c r="P14" s="718"/>
      <c r="Q14" s="57" t="s">
        <v>8</v>
      </c>
      <c r="R14" s="94"/>
      <c r="S14" s="193" t="s">
        <v>7</v>
      </c>
      <c r="T14" s="193"/>
      <c r="U14" s="193"/>
      <c r="V14" s="193"/>
      <c r="W14" s="193"/>
      <c r="X14" s="94"/>
      <c r="Y14" s="718">
        <f>VLOOKUP($C$5,Data!$B$4:$L$7,8)</f>
        <v>6</v>
      </c>
      <c r="Z14" s="717"/>
      <c r="AA14" s="29" t="s">
        <v>8</v>
      </c>
      <c r="AB14" s="94"/>
      <c r="AC14" s="94"/>
      <c r="AD14" s="201" t="s">
        <v>178</v>
      </c>
      <c r="AE14" s="200"/>
      <c r="AF14" s="200"/>
      <c r="AG14" s="200"/>
      <c r="AH14" s="200"/>
      <c r="AI14" s="200"/>
      <c r="AJ14" s="200"/>
      <c r="AK14" s="200"/>
      <c r="AL14" s="200"/>
      <c r="AM14" s="204"/>
      <c r="AN14" s="3"/>
      <c r="AO14" s="3"/>
      <c r="AP14" s="37" t="s">
        <v>28</v>
      </c>
      <c r="AQ14" s="3"/>
      <c r="AR14" s="3"/>
      <c r="AS14" s="3"/>
      <c r="AT14" s="3"/>
      <c r="AU14" s="3"/>
      <c r="AV14" s="3"/>
      <c r="AW14" s="3"/>
      <c r="AX14" s="3"/>
      <c r="AY14" s="727">
        <f>C2</f>
        <v>21656.1</v>
      </c>
      <c r="AZ14" s="728"/>
      <c r="BA14" s="728"/>
      <c r="BB14" s="729"/>
      <c r="BC14" s="3"/>
      <c r="BD14" s="3"/>
      <c r="BE14" s="3"/>
      <c r="BF14" s="94"/>
      <c r="BG14" s="94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</row>
    <row r="15" spans="1:86" ht="16.5" customHeight="1">
      <c r="A15" s="756" t="s">
        <v>68</v>
      </c>
      <c r="B15" s="756"/>
      <c r="C15" s="241">
        <v>18</v>
      </c>
      <c r="D15" s="217"/>
      <c r="E15" s="96"/>
      <c r="F15" s="96"/>
      <c r="G15" s="94"/>
      <c r="H15" s="758" t="s">
        <v>14</v>
      </c>
      <c r="I15" s="758"/>
      <c r="J15" s="758"/>
      <c r="K15" s="758"/>
      <c r="L15" s="758"/>
      <c r="M15" s="758"/>
      <c r="N15" s="758"/>
      <c r="O15" s="717">
        <f>VLOOKUP($C$5,Data!$B$4:$L$7,5)</f>
        <v>10.08</v>
      </c>
      <c r="P15" s="717"/>
      <c r="Q15" s="57" t="s">
        <v>8</v>
      </c>
      <c r="R15" s="94"/>
      <c r="S15" s="193" t="s">
        <v>12</v>
      </c>
      <c r="T15" s="193"/>
      <c r="U15" s="193"/>
      <c r="V15" s="193"/>
      <c r="W15" s="193"/>
      <c r="X15" s="94"/>
      <c r="Y15" s="717">
        <f>(Y13*L10+(Y13-1)*Y14+2*K33)/12</f>
        <v>34.75</v>
      </c>
      <c r="Z15" s="717"/>
      <c r="AA15" s="29" t="s">
        <v>13</v>
      </c>
      <c r="AB15" s="94"/>
      <c r="AC15" s="202"/>
      <c r="AD15" s="29" t="s">
        <v>34</v>
      </c>
      <c r="AE15" s="193"/>
      <c r="AF15" s="193"/>
      <c r="AG15" s="193"/>
      <c r="AH15" s="193"/>
      <c r="AI15" s="202"/>
      <c r="AJ15" s="747">
        <v>0.4</v>
      </c>
      <c r="AK15" s="747"/>
      <c r="AL15" s="193"/>
      <c r="AM15" s="94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94"/>
      <c r="BG15" s="94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</row>
    <row r="16" spans="1:86" ht="16.5" customHeight="1">
      <c r="A16" s="303" t="str">
        <f>IF(C5=3,"Only SK180 options apply.","SK180 options DO NOT apply.")</f>
        <v>SK180 options DO NOT apply.</v>
      </c>
      <c r="B16" s="92"/>
      <c r="C16" s="303" t="str">
        <f>IF(C5=3,"Mainline x Stub","")</f>
        <v/>
      </c>
      <c r="D16" s="92"/>
      <c r="E16" s="19"/>
      <c r="F16" s="96"/>
      <c r="G16" s="94"/>
      <c r="H16" s="758" t="s">
        <v>17</v>
      </c>
      <c r="I16" s="758"/>
      <c r="J16" s="758"/>
      <c r="K16" s="758"/>
      <c r="L16" s="758"/>
      <c r="M16" s="758"/>
      <c r="N16" s="758"/>
      <c r="O16" s="717">
        <f>(O13*O14+2*O15)/12</f>
        <v>284.68</v>
      </c>
      <c r="P16" s="717"/>
      <c r="Q16" s="193" t="s">
        <v>13</v>
      </c>
      <c r="R16" s="94"/>
      <c r="S16" s="30" t="s">
        <v>20</v>
      </c>
      <c r="T16" s="30"/>
      <c r="U16" s="30"/>
      <c r="V16" s="30"/>
      <c r="W16" s="31"/>
      <c r="X16" s="31"/>
      <c r="Y16" s="31"/>
      <c r="Z16" s="31"/>
      <c r="AA16" s="116"/>
      <c r="AB16" s="94"/>
      <c r="AC16" s="94"/>
      <c r="AD16" s="29" t="s">
        <v>179</v>
      </c>
      <c r="AE16" s="193"/>
      <c r="AF16" s="193"/>
      <c r="AG16" s="193"/>
      <c r="AH16" s="193"/>
      <c r="AI16" s="757">
        <f>AI13*AJ15</f>
        <v>8770.9130713346676</v>
      </c>
      <c r="AJ16" s="757"/>
      <c r="AK16" s="757"/>
      <c r="AL16" s="29" t="s">
        <v>30</v>
      </c>
      <c r="AM16" s="94"/>
      <c r="AN16" s="3"/>
      <c r="AO16" s="3"/>
      <c r="AP16" s="36" t="s">
        <v>188</v>
      </c>
      <c r="AQ16" s="3"/>
      <c r="AR16" s="3"/>
      <c r="AS16" s="3"/>
      <c r="AT16" s="3"/>
      <c r="AU16" s="3"/>
      <c r="AV16" s="3"/>
      <c r="AW16" s="32"/>
      <c r="AX16" s="3"/>
      <c r="AY16" s="94"/>
      <c r="AZ16" s="3"/>
      <c r="BA16" s="3"/>
      <c r="BB16" s="3"/>
      <c r="BC16" s="3"/>
      <c r="BD16" s="3"/>
      <c r="BE16" s="3"/>
      <c r="BF16" s="94"/>
      <c r="BG16" s="94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</row>
    <row r="17" spans="1:86" ht="16.5" customHeight="1">
      <c r="A17" s="756" t="s">
        <v>69</v>
      </c>
      <c r="B17" s="756"/>
      <c r="C17" s="241">
        <v>25</v>
      </c>
      <c r="D17" s="92"/>
      <c r="E17" s="166"/>
      <c r="F17" s="96"/>
      <c r="G17" s="94"/>
      <c r="H17" s="758" t="s">
        <v>21</v>
      </c>
      <c r="I17" s="758"/>
      <c r="J17" s="758"/>
      <c r="K17" s="758"/>
      <c r="L17" s="758"/>
      <c r="M17" s="758"/>
      <c r="N17" s="758"/>
      <c r="O17" s="717">
        <f>VLOOKUP($C$5,Data!$B$4:$N$7,13)</f>
        <v>12</v>
      </c>
      <c r="P17" s="717"/>
      <c r="Q17" s="193" t="s">
        <v>8</v>
      </c>
      <c r="R17" s="94"/>
      <c r="S17" s="185" t="s">
        <v>23</v>
      </c>
      <c r="T17" s="22"/>
      <c r="U17" s="22"/>
      <c r="V17" s="22"/>
      <c r="W17" s="185"/>
      <c r="X17" s="94"/>
      <c r="Y17" s="749">
        <f>(AH26+AG28+AH31)/12</f>
        <v>3.4750000000000001</v>
      </c>
      <c r="Z17" s="749"/>
      <c r="AA17" s="177" t="s">
        <v>13</v>
      </c>
      <c r="AB17" s="94"/>
      <c r="AC17" s="94"/>
      <c r="AD17" s="33" t="s">
        <v>27</v>
      </c>
      <c r="AE17" s="200"/>
      <c r="AF17" s="200"/>
      <c r="AG17" s="200"/>
      <c r="AH17" s="200"/>
      <c r="AI17" s="200"/>
      <c r="AJ17" s="200"/>
      <c r="AK17" s="200"/>
      <c r="AL17" s="200"/>
      <c r="AM17" s="94"/>
      <c r="AN17" s="3"/>
      <c r="AO17" s="3"/>
      <c r="AP17" s="742">
        <f>Z6</f>
        <v>280</v>
      </c>
      <c r="AQ17" s="742"/>
      <c r="AR17" s="743" t="str">
        <f>VLOOKUP($C$5,Data!$B$4:$L$7,2)</f>
        <v>SK75</v>
      </c>
      <c r="AS17" s="743"/>
      <c r="AT17" s="195" t="s">
        <v>37</v>
      </c>
      <c r="AU17" s="196"/>
      <c r="AV17" s="195"/>
      <c r="AW17" s="195"/>
      <c r="AX17" s="195"/>
      <c r="AY17" s="195"/>
      <c r="AZ17" s="3"/>
      <c r="BA17" s="3"/>
      <c r="BB17" s="3"/>
      <c r="BC17" s="3"/>
      <c r="BD17" s="3"/>
      <c r="BE17" s="3"/>
      <c r="BF17" s="94"/>
      <c r="BG17" s="94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</row>
    <row r="18" spans="1:86" ht="16.5" customHeight="1">
      <c r="A18" s="303" t="str">
        <f>IF(C5=4,"Only SK290 options apply.","SK290 options DO NOT apply.")</f>
        <v>SK290 options DO NOT apply.</v>
      </c>
      <c r="B18" s="92"/>
      <c r="C18" s="303" t="str">
        <f>IF(C5=4,"Mainline x Stub","")</f>
        <v/>
      </c>
      <c r="D18" s="92"/>
      <c r="E18" s="94"/>
      <c r="F18" s="96"/>
      <c r="G18" s="94"/>
      <c r="H18" s="759" t="s">
        <v>169</v>
      </c>
      <c r="I18" s="759"/>
      <c r="J18" s="759"/>
      <c r="K18" s="759"/>
      <c r="L18" s="759"/>
      <c r="M18" s="759"/>
      <c r="N18" s="759"/>
      <c r="O18" s="771">
        <f>Q55</f>
        <v>0.8693749999999999</v>
      </c>
      <c r="P18" s="772"/>
      <c r="Q18" s="193" t="s">
        <v>13</v>
      </c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117"/>
      <c r="AC18" s="202"/>
      <c r="AD18" s="206" t="s">
        <v>182</v>
      </c>
      <c r="AE18" s="203"/>
      <c r="AF18" s="187"/>
      <c r="AG18" s="187"/>
      <c r="AH18" s="187"/>
      <c r="AI18" s="745">
        <f>Y10+AJ6+AI16</f>
        <v>21847.840741018066</v>
      </c>
      <c r="AJ18" s="745"/>
      <c r="AK18" s="745"/>
      <c r="AL18" s="207" t="s">
        <v>31</v>
      </c>
      <c r="AM18" s="193"/>
      <c r="AN18" s="3"/>
      <c r="AO18" s="3"/>
      <c r="AP18" s="742">
        <f>Z8</f>
        <v>14</v>
      </c>
      <c r="AQ18" s="742"/>
      <c r="AR18" s="743" t="str">
        <f>VLOOKUP($C$5,Data!$B$4:$L$7,2)</f>
        <v>SK75</v>
      </c>
      <c r="AS18" s="743"/>
      <c r="AT18" s="195" t="s">
        <v>38</v>
      </c>
      <c r="AU18" s="196"/>
      <c r="AV18" s="195"/>
      <c r="AW18" s="195"/>
      <c r="AX18" s="195"/>
      <c r="AY18" s="195"/>
      <c r="AZ18" s="3"/>
      <c r="BA18" s="3"/>
      <c r="BB18" s="3"/>
      <c r="BC18" s="3"/>
      <c r="BD18" s="3"/>
      <c r="BE18" s="3"/>
      <c r="BF18" s="94"/>
      <c r="BG18" s="94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</row>
    <row r="19" spans="1:86" ht="16.5" customHeight="1">
      <c r="A19" s="756" t="s">
        <v>695</v>
      </c>
      <c r="B19" s="756"/>
      <c r="C19" s="241">
        <v>33</v>
      </c>
      <c r="D19" s="92"/>
      <c r="E19" s="94"/>
      <c r="F19" s="96"/>
      <c r="G19" s="94"/>
      <c r="H19" s="759" t="s">
        <v>170</v>
      </c>
      <c r="I19" s="759"/>
      <c r="J19" s="759"/>
      <c r="K19" s="759"/>
      <c r="L19" s="759"/>
      <c r="M19" s="759"/>
      <c r="N19" s="759"/>
      <c r="O19" s="771">
        <f>Q56</f>
        <v>3.479166666666667</v>
      </c>
      <c r="P19" s="771"/>
      <c r="Q19" s="193" t="s">
        <v>13</v>
      </c>
      <c r="R19" s="94"/>
      <c r="S19" s="33" t="s">
        <v>174</v>
      </c>
      <c r="T19" s="199"/>
      <c r="U19" s="200"/>
      <c r="V19" s="200"/>
      <c r="W19" s="200"/>
      <c r="X19" s="200"/>
      <c r="Y19" s="200"/>
      <c r="Z19" s="200"/>
      <c r="AA19" s="116"/>
      <c r="AB19" s="157"/>
      <c r="AC19" s="191"/>
      <c r="AD19" s="208" t="s">
        <v>181</v>
      </c>
      <c r="AE19" s="205"/>
      <c r="AF19" s="22"/>
      <c r="AG19" s="22"/>
      <c r="AH19" s="22"/>
      <c r="AI19" s="744">
        <f>C2</f>
        <v>21656.1</v>
      </c>
      <c r="AJ19" s="744"/>
      <c r="AK19" s="744"/>
      <c r="AL19" s="209" t="s">
        <v>31</v>
      </c>
      <c r="AM19" s="94"/>
      <c r="AN19" s="3"/>
      <c r="AO19" s="3"/>
      <c r="AP19" s="774">
        <f>AI13/27</f>
        <v>812.12158067913595</v>
      </c>
      <c r="AQ19" s="774"/>
      <c r="AR19" s="743" t="s">
        <v>39</v>
      </c>
      <c r="AS19" s="743"/>
      <c r="AT19" s="743"/>
      <c r="AU19" s="743"/>
      <c r="AV19" s="743"/>
      <c r="AW19" s="743"/>
      <c r="AX19" s="743"/>
      <c r="AY19" s="195"/>
      <c r="AZ19" s="3"/>
      <c r="BA19" s="3"/>
      <c r="BB19" s="3"/>
      <c r="BC19" s="3"/>
      <c r="BD19" s="3"/>
      <c r="BE19" s="3"/>
      <c r="BF19" s="94"/>
      <c r="BG19" s="94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</row>
    <row r="20" spans="1:86" ht="16.5" customHeight="1">
      <c r="A20" s="92"/>
      <c r="B20" s="92"/>
      <c r="C20" s="92"/>
      <c r="D20" s="92"/>
      <c r="E20" s="117"/>
      <c r="F20" s="96"/>
      <c r="G20" s="115"/>
      <c r="H20" s="763" t="s">
        <v>24</v>
      </c>
      <c r="I20" s="763"/>
      <c r="J20" s="763"/>
      <c r="K20" s="763"/>
      <c r="L20" s="763"/>
      <c r="M20" s="725">
        <f>O16+O17/12+O18+O19</f>
        <v>290.02854166666668</v>
      </c>
      <c r="N20" s="725"/>
      <c r="O20" s="725"/>
      <c r="P20" s="725"/>
      <c r="Q20" s="193" t="s">
        <v>13</v>
      </c>
      <c r="R20" s="96"/>
      <c r="S20" s="193" t="s">
        <v>175</v>
      </c>
      <c r="T20" s="94"/>
      <c r="U20" s="94"/>
      <c r="V20" s="94"/>
      <c r="W20" s="94"/>
      <c r="X20" s="739">
        <f>Y15*Y17*M20</f>
        <v>35022.759084635421</v>
      </c>
      <c r="Y20" s="739"/>
      <c r="Z20" s="739"/>
      <c r="AA20" s="29" t="s">
        <v>30</v>
      </c>
      <c r="AB20" s="3"/>
      <c r="AC20" s="3"/>
      <c r="AD20" s="750" t="s">
        <v>35</v>
      </c>
      <c r="AE20" s="751"/>
      <c r="AF20" s="751"/>
      <c r="AG20" s="751"/>
      <c r="AH20" s="751"/>
      <c r="AI20" s="751"/>
      <c r="AJ20" s="752">
        <f>AI18/AI19</f>
        <v>1.008853890636729</v>
      </c>
      <c r="AK20" s="752"/>
      <c r="AL20" s="753"/>
      <c r="AM20" s="3"/>
      <c r="AN20" s="3"/>
      <c r="AO20" s="3"/>
      <c r="AP20" s="774">
        <f>(2*Y15*M20+2*Y17*M20+2*Y17*Y15)/9</f>
        <v>2490.4660567129631</v>
      </c>
      <c r="AQ20" s="774"/>
      <c r="AR20" s="743" t="s">
        <v>41</v>
      </c>
      <c r="AS20" s="743"/>
      <c r="AT20" s="743"/>
      <c r="AU20" s="743"/>
      <c r="AV20" s="743"/>
      <c r="AW20" s="743"/>
      <c r="AX20" s="743"/>
      <c r="AY20" s="743"/>
      <c r="AZ20" s="3"/>
      <c r="BA20" s="3"/>
      <c r="BB20" s="3"/>
      <c r="BC20" s="3"/>
      <c r="BD20" s="3"/>
      <c r="BE20" s="3"/>
      <c r="BF20" s="94"/>
      <c r="BG20" s="94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</row>
    <row r="21" spans="1:86" ht="16.5" customHeight="1">
      <c r="A21" s="302" t="s">
        <v>212</v>
      </c>
      <c r="B21" s="114"/>
      <c r="C21" s="241">
        <v>2</v>
      </c>
      <c r="D21" s="114"/>
      <c r="E21" s="117"/>
      <c r="F21" s="96"/>
      <c r="G21" s="46"/>
      <c r="H21" s="181"/>
      <c r="I21" s="689" t="s">
        <v>40</v>
      </c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89"/>
      <c r="U21" s="689"/>
      <c r="V21" s="689"/>
      <c r="W21" s="689"/>
      <c r="X21" s="689"/>
      <c r="Y21" s="755"/>
      <c r="Z21" s="3"/>
      <c r="AA21" s="3"/>
      <c r="AB21" s="3"/>
      <c r="AC21" s="3"/>
      <c r="AE21" s="258"/>
      <c r="AF21" s="258"/>
      <c r="AG21" s="258"/>
      <c r="AH21" s="258"/>
      <c r="AI21" s="258"/>
      <c r="AJ21" s="258"/>
      <c r="AK21" s="258"/>
      <c r="AL21" s="258"/>
      <c r="AM21" s="258"/>
      <c r="AN21" s="3"/>
      <c r="AO21" s="3"/>
      <c r="AP21" s="198"/>
      <c r="AQ21" s="754" t="s">
        <v>171</v>
      </c>
      <c r="AR21" s="754"/>
      <c r="AS21" s="754"/>
      <c r="AT21" s="754"/>
      <c r="AU21" s="754"/>
      <c r="AV21" s="754"/>
      <c r="AW21" s="754"/>
      <c r="AX21" s="754"/>
      <c r="AY21" s="754"/>
      <c r="AZ21" s="754"/>
      <c r="BA21" s="216"/>
      <c r="BB21" s="216"/>
      <c r="BC21" s="216"/>
      <c r="BD21" s="216"/>
      <c r="BE21" s="3"/>
      <c r="BF21" s="94"/>
      <c r="BG21" s="94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</row>
    <row r="22" spans="1:86" ht="16.5" customHeight="1">
      <c r="A22" s="92"/>
      <c r="B22" s="92"/>
      <c r="C22" s="92"/>
      <c r="D22" s="92"/>
      <c r="E22" s="117"/>
      <c r="F22" s="96"/>
      <c r="G22" s="13"/>
      <c r="H22" s="14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89"/>
      <c r="U22" s="689"/>
      <c r="V22" s="689"/>
      <c r="W22" s="689"/>
      <c r="X22" s="689"/>
      <c r="Y22" s="755"/>
      <c r="Z22" s="3"/>
      <c r="AA22" s="3"/>
      <c r="AB22" s="3"/>
      <c r="AC22" s="3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3"/>
      <c r="AO22" s="3"/>
      <c r="AP22" s="197"/>
      <c r="AQ22" s="754"/>
      <c r="AR22" s="754"/>
      <c r="AS22" s="754"/>
      <c r="AT22" s="754"/>
      <c r="AU22" s="754"/>
      <c r="AV22" s="754"/>
      <c r="AW22" s="754"/>
      <c r="AX22" s="754"/>
      <c r="AY22" s="754"/>
      <c r="AZ22" s="754"/>
      <c r="BA22" s="216"/>
      <c r="BB22" s="216"/>
      <c r="BC22" s="216"/>
      <c r="BD22" s="216"/>
      <c r="BE22" s="3"/>
      <c r="BF22" s="94"/>
      <c r="BG22" s="94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</row>
    <row r="23" spans="1:86" ht="16.5" customHeight="1">
      <c r="A23" s="300" t="s">
        <v>213</v>
      </c>
      <c r="B23" s="92"/>
      <c r="C23" s="92"/>
      <c r="D23" s="92"/>
      <c r="E23" s="117"/>
      <c r="F23" s="96"/>
      <c r="G23" s="46"/>
      <c r="H23" s="21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89"/>
      <c r="T23" s="689"/>
      <c r="U23" s="689"/>
      <c r="V23" s="689"/>
      <c r="W23" s="689"/>
      <c r="X23" s="689"/>
      <c r="Y23" s="755"/>
      <c r="Z23" s="3"/>
      <c r="AA23" s="3"/>
      <c r="AB23" s="3"/>
      <c r="AC23" s="3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3"/>
      <c r="AO23" s="3"/>
      <c r="AP23" s="36" t="s">
        <v>42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94"/>
      <c r="BG23" s="94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</row>
    <row r="24" spans="1:86" ht="16.5" customHeight="1">
      <c r="A24" s="671" t="s">
        <v>184</v>
      </c>
      <c r="B24" s="671"/>
      <c r="C24" s="226">
        <f>(C2-2*((Y15*Y17*O15/12-C8*Z9)*AJ15+C8*Z9)-(O17/12*Y15*Y17*AJ15+AJ6+((Q55+Q56)*Y15*Y17-AJ9)*AJ15))/((C8*L8+(Y15*Y17-C8*L8)*AJ15)*O14/12)</f>
        <v>39.642688170358724</v>
      </c>
      <c r="D24" s="227"/>
      <c r="E24" s="94"/>
      <c r="F24" s="96"/>
      <c r="G24" s="41"/>
      <c r="H24" s="41"/>
      <c r="I24" s="691"/>
      <c r="J24" s="691"/>
      <c r="K24" s="15"/>
      <c r="L24" s="5"/>
      <c r="M24" s="5"/>
      <c r="N24" s="5"/>
      <c r="O24" s="5"/>
      <c r="P24" s="5"/>
      <c r="Q24" s="5"/>
      <c r="R24" s="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48"/>
      <c r="AQ24" s="693"/>
      <c r="AR24" s="693"/>
      <c r="AS24" s="693"/>
      <c r="AT24" s="693"/>
      <c r="AU24" s="693"/>
      <c r="AV24" s="693"/>
      <c r="AW24" s="693"/>
      <c r="AX24" s="693"/>
      <c r="AY24" s="693"/>
      <c r="AZ24" s="693"/>
      <c r="BA24" s="693"/>
      <c r="BB24" s="693"/>
      <c r="BC24" s="693"/>
      <c r="BD24" s="49"/>
      <c r="BE24" s="3"/>
      <c r="BF24" s="94"/>
      <c r="BG24" s="94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</row>
    <row r="25" spans="1:86" ht="12.75" customHeight="1">
      <c r="A25" s="671" t="s">
        <v>185</v>
      </c>
      <c r="B25" s="671"/>
      <c r="C25" s="215">
        <f>ROUNDUP((C2-2*((Y15*Y17*O15/12-C8*Z9)*AJ15+C8*Z9)-(O17/12*Y15*Y17*AJ15+AJ6+((Q55+Q56)*Y15*Y17-AJ9)*AJ15))/((C8*L8+(Y15*Y17-C8*L8)*AJ15)*O14/12),0)</f>
        <v>40</v>
      </c>
      <c r="D25" s="227"/>
      <c r="E25" s="94"/>
      <c r="F25" s="96"/>
      <c r="G25" s="11"/>
      <c r="H25" s="11"/>
      <c r="I25" s="11"/>
      <c r="J25" s="11"/>
      <c r="K25" s="15"/>
      <c r="L25" s="5"/>
      <c r="M25" s="5"/>
      <c r="N25" s="5"/>
      <c r="O25" s="5"/>
      <c r="P25" s="5"/>
      <c r="Q25" s="5"/>
      <c r="R25" s="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50"/>
      <c r="AQ25" s="693"/>
      <c r="AR25" s="693"/>
      <c r="AS25" s="693"/>
      <c r="AT25" s="693"/>
      <c r="AU25" s="693"/>
      <c r="AV25" s="693"/>
      <c r="AW25" s="693"/>
      <c r="AX25" s="693"/>
      <c r="AY25" s="693"/>
      <c r="AZ25" s="693"/>
      <c r="BA25" s="693"/>
      <c r="BB25" s="693"/>
      <c r="BC25" s="693"/>
      <c r="BD25" s="51"/>
      <c r="BE25" s="3"/>
      <c r="BF25" s="94"/>
      <c r="BG25" s="94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</row>
    <row r="26" spans="1:86" ht="16.5" customHeight="1">
      <c r="A26" s="672" t="s">
        <v>186</v>
      </c>
      <c r="B26" s="673"/>
      <c r="C26" s="708">
        <f>(C8*L8+(Y15*Y17-C8*L8)*AJ15)*O14/12*C25+2*((Y15*Y17*O15/12-C8*Z9)*AJ15+C8*Z9)+O17/12*Y15*Y17*AJ15+AJ6+((Q55+Q56)*Y15*Y17-AJ9)*AJ15</f>
        <v>21847.840741018073</v>
      </c>
      <c r="D26" s="708"/>
      <c r="E26" s="94"/>
      <c r="F26" s="96"/>
      <c r="G26" s="11"/>
      <c r="H26" s="11"/>
      <c r="I26" s="11"/>
      <c r="J26" s="11"/>
      <c r="K26" s="15"/>
      <c r="L26" s="5"/>
      <c r="M26" s="5"/>
      <c r="N26" s="5"/>
      <c r="O26" s="5"/>
      <c r="P26" s="5"/>
      <c r="Q26" s="5"/>
      <c r="R26" s="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685">
        <f>VLOOKUP($C$5,Data!$B$4:$L$7,11)</f>
        <v>6</v>
      </c>
      <c r="AI26" s="685"/>
      <c r="AJ26" s="3"/>
      <c r="AK26" s="3"/>
      <c r="AL26" s="3"/>
      <c r="AM26" s="3"/>
      <c r="AN26" s="3"/>
      <c r="AO26" s="3"/>
      <c r="AP26" s="50"/>
      <c r="AQ26" s="693"/>
      <c r="AR26" s="693"/>
      <c r="AS26" s="693"/>
      <c r="AT26" s="693"/>
      <c r="AU26" s="693"/>
      <c r="AV26" s="693"/>
      <c r="AW26" s="693"/>
      <c r="AX26" s="693"/>
      <c r="AY26" s="693"/>
      <c r="AZ26" s="693"/>
      <c r="BA26" s="693"/>
      <c r="BB26" s="693"/>
      <c r="BC26" s="693"/>
      <c r="BD26" s="51"/>
      <c r="BE26" s="3"/>
      <c r="BF26" s="94"/>
      <c r="BG26" s="94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</row>
    <row r="27" spans="1:86" ht="16.5" customHeight="1">
      <c r="A27" s="92"/>
      <c r="B27" s="92"/>
      <c r="C27" s="92"/>
      <c r="D27" s="92"/>
      <c r="E27" s="94"/>
      <c r="F27" s="3"/>
      <c r="G27" s="11"/>
      <c r="H27" s="11"/>
      <c r="I27" s="11"/>
      <c r="J27" s="11"/>
      <c r="K27" s="16"/>
      <c r="L27" s="5"/>
      <c r="M27" s="5"/>
      <c r="N27" s="5"/>
      <c r="O27" s="5"/>
      <c r="P27" s="5"/>
      <c r="Q27" s="5"/>
      <c r="R27" s="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26"/>
      <c r="AH27" s="26"/>
      <c r="AI27" s="3"/>
      <c r="AJ27" s="696">
        <f>Y17</f>
        <v>3.4750000000000001</v>
      </c>
      <c r="AK27" s="696"/>
      <c r="AL27" s="3"/>
      <c r="AM27" s="3"/>
      <c r="AN27" s="3"/>
      <c r="AO27" s="3"/>
      <c r="AP27" s="50"/>
      <c r="AQ27" s="693"/>
      <c r="AR27" s="693"/>
      <c r="AS27" s="693"/>
      <c r="AT27" s="693"/>
      <c r="AU27" s="693"/>
      <c r="AV27" s="693"/>
      <c r="AW27" s="693"/>
      <c r="AX27" s="693"/>
      <c r="AY27" s="693"/>
      <c r="AZ27" s="693"/>
      <c r="BA27" s="693"/>
      <c r="BB27" s="693"/>
      <c r="BC27" s="693"/>
      <c r="BD27" s="51"/>
      <c r="BE27" s="3"/>
      <c r="BF27" s="94"/>
      <c r="BG27" s="94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</row>
    <row r="28" spans="1:86" ht="16.5" customHeight="1">
      <c r="A28" s="214" t="s">
        <v>238</v>
      </c>
      <c r="B28" s="114"/>
      <c r="C28" s="114"/>
      <c r="D28" s="114"/>
      <c r="E28" s="94"/>
      <c r="F28" s="3"/>
      <c r="G28" s="11"/>
      <c r="H28" s="11"/>
      <c r="I28" s="11"/>
      <c r="J28" s="11"/>
      <c r="K28" s="12"/>
      <c r="L28" s="5"/>
      <c r="M28" s="5"/>
      <c r="N28" s="5"/>
      <c r="O28" s="5"/>
      <c r="P28" s="5"/>
      <c r="Q28" s="5"/>
      <c r="R28" s="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699">
        <f>VLOOKUP($C$5,Data!$B$4:$L$7,7)</f>
        <v>29.7</v>
      </c>
      <c r="AH28" s="699"/>
      <c r="AI28" s="699"/>
      <c r="AJ28" s="700" t="s">
        <v>43</v>
      </c>
      <c r="AK28" s="700"/>
      <c r="AL28" s="700"/>
      <c r="AM28" s="3"/>
      <c r="AN28" s="3"/>
      <c r="AO28" s="3"/>
      <c r="AP28" s="50"/>
      <c r="AQ28" s="693"/>
      <c r="AR28" s="693"/>
      <c r="AS28" s="693"/>
      <c r="AT28" s="693"/>
      <c r="AU28" s="693"/>
      <c r="AV28" s="693"/>
      <c r="AW28" s="693"/>
      <c r="AX28" s="693"/>
      <c r="AY28" s="693"/>
      <c r="AZ28" s="693"/>
      <c r="BA28" s="693"/>
      <c r="BB28" s="693"/>
      <c r="BC28" s="693"/>
      <c r="BD28" s="51"/>
      <c r="BE28" s="3"/>
      <c r="BF28" s="94"/>
      <c r="BG28" s="94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</row>
    <row r="29" spans="1:86" ht="16.5" customHeight="1">
      <c r="A29" s="214" t="s">
        <v>239</v>
      </c>
      <c r="B29" s="92"/>
      <c r="C29" s="92"/>
      <c r="D29" s="92"/>
      <c r="E29" s="94"/>
      <c r="F29" s="3"/>
      <c r="G29" s="3"/>
      <c r="H29" s="3"/>
      <c r="I29" s="3"/>
      <c r="J29" s="3"/>
      <c r="K29" s="89"/>
      <c r="L29" s="89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699"/>
      <c r="AH29" s="699"/>
      <c r="AI29" s="699"/>
      <c r="AJ29" s="700"/>
      <c r="AK29" s="700"/>
      <c r="AL29" s="700"/>
      <c r="AM29" s="3"/>
      <c r="AN29" s="3"/>
      <c r="AO29" s="3"/>
      <c r="AP29" s="50"/>
      <c r="AQ29" s="693"/>
      <c r="AR29" s="693"/>
      <c r="AS29" s="693"/>
      <c r="AT29" s="693"/>
      <c r="AU29" s="693"/>
      <c r="AV29" s="693"/>
      <c r="AW29" s="693"/>
      <c r="AX29" s="693"/>
      <c r="AY29" s="693"/>
      <c r="AZ29" s="693"/>
      <c r="BA29" s="693"/>
      <c r="BB29" s="693"/>
      <c r="BC29" s="693"/>
      <c r="BD29" s="51"/>
      <c r="BE29" s="3"/>
      <c r="BF29" s="94"/>
      <c r="BG29" s="94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</row>
    <row r="30" spans="1:86" ht="16.5" customHeight="1">
      <c r="A30" s="92"/>
      <c r="B30" s="92"/>
      <c r="C30" s="92"/>
      <c r="D30" s="92"/>
      <c r="E30" s="94"/>
      <c r="F30" s="3"/>
      <c r="G30" s="3"/>
      <c r="H30" s="3"/>
      <c r="I30" s="3"/>
      <c r="J30" s="3"/>
      <c r="K30" s="89"/>
      <c r="L30" s="89"/>
      <c r="M30" s="17"/>
      <c r="N30" s="11"/>
      <c r="O30" s="3"/>
      <c r="P30" s="3"/>
      <c r="Q30" s="17"/>
      <c r="R30" s="1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26"/>
      <c r="AH30" s="3"/>
      <c r="AI30" s="3"/>
      <c r="AJ30" s="3"/>
      <c r="AK30" s="3"/>
      <c r="AL30" s="3"/>
      <c r="AM30" s="3"/>
      <c r="AN30" s="3"/>
      <c r="AO30" s="3"/>
      <c r="AP30" s="50"/>
      <c r="AQ30" s="693"/>
      <c r="AR30" s="693"/>
      <c r="AS30" s="693"/>
      <c r="AT30" s="693"/>
      <c r="AU30" s="693"/>
      <c r="AV30" s="693"/>
      <c r="AW30" s="693"/>
      <c r="AX30" s="693"/>
      <c r="AY30" s="693"/>
      <c r="AZ30" s="693"/>
      <c r="BA30" s="693"/>
      <c r="BB30" s="693"/>
      <c r="BC30" s="693"/>
      <c r="BD30" s="51"/>
      <c r="BE30" s="3"/>
      <c r="BF30" s="94"/>
      <c r="BG30" s="94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</row>
    <row r="31" spans="1:86" ht="16.5" customHeight="1">
      <c r="A31" s="715" t="s">
        <v>261</v>
      </c>
      <c r="B31" s="715"/>
      <c r="C31" s="715"/>
      <c r="D31" s="715"/>
      <c r="E31" s="94"/>
      <c r="F31" s="3"/>
      <c r="G31" s="3"/>
      <c r="H31" s="3"/>
      <c r="I31" s="3"/>
      <c r="J31" s="3"/>
      <c r="K31" s="89"/>
      <c r="L31" s="89"/>
      <c r="M31" s="19"/>
      <c r="N31" s="3"/>
      <c r="O31" s="3"/>
      <c r="P31" s="3"/>
      <c r="Q31" s="19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684">
        <f>VLOOKUP($C$5,Data!$B$4:$L$7,10)</f>
        <v>6</v>
      </c>
      <c r="AI31" s="684"/>
      <c r="AJ31" s="3"/>
      <c r="AK31" s="3"/>
      <c r="AL31" s="3"/>
      <c r="AM31" s="3"/>
      <c r="AN31" s="3"/>
      <c r="AO31" s="3"/>
      <c r="AP31" s="50"/>
      <c r="AQ31" s="693"/>
      <c r="AR31" s="693"/>
      <c r="AS31" s="693"/>
      <c r="AT31" s="693"/>
      <c r="AU31" s="693"/>
      <c r="AV31" s="693"/>
      <c r="AW31" s="693"/>
      <c r="AX31" s="693"/>
      <c r="AY31" s="693"/>
      <c r="AZ31" s="693"/>
      <c r="BA31" s="693"/>
      <c r="BB31" s="693"/>
      <c r="BC31" s="693"/>
      <c r="BD31" s="51"/>
      <c r="BE31" s="3"/>
      <c r="BF31" s="94"/>
      <c r="BG31" s="94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</row>
    <row r="32" spans="1:86" ht="16.5" customHeight="1">
      <c r="A32" s="715"/>
      <c r="B32" s="715"/>
      <c r="C32" s="715"/>
      <c r="D32" s="715"/>
      <c r="E32" s="94"/>
      <c r="F32" s="3"/>
      <c r="G32" s="43"/>
      <c r="H32" s="9"/>
      <c r="I32" s="3"/>
      <c r="J32" s="3"/>
      <c r="K32" s="91"/>
      <c r="L32" s="91"/>
      <c r="M32" s="90"/>
      <c r="N32" s="91"/>
      <c r="O32" s="91"/>
      <c r="P32" s="43"/>
      <c r="Q32" s="42"/>
      <c r="R32" s="91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50"/>
      <c r="AQ32" s="693"/>
      <c r="AR32" s="693"/>
      <c r="AS32" s="693"/>
      <c r="AT32" s="693"/>
      <c r="AU32" s="693"/>
      <c r="AV32" s="693"/>
      <c r="AW32" s="693"/>
      <c r="AX32" s="693"/>
      <c r="AY32" s="693"/>
      <c r="AZ32" s="693"/>
      <c r="BA32" s="693"/>
      <c r="BB32" s="693"/>
      <c r="BC32" s="693"/>
      <c r="BD32" s="51"/>
      <c r="BE32" s="3"/>
      <c r="BF32" s="94"/>
      <c r="BG32" s="94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</row>
    <row r="33" spans="1:86" ht="16.5" customHeight="1">
      <c r="A33" s="92"/>
      <c r="B33" s="92"/>
      <c r="C33" s="92"/>
      <c r="D33" s="92"/>
      <c r="E33" s="94"/>
      <c r="F33" s="3"/>
      <c r="G33" s="39"/>
      <c r="H33" s="39"/>
      <c r="I33" s="39"/>
      <c r="J33" s="39"/>
      <c r="K33" s="694">
        <f>VLOOKUP($C$5,Data!$B$4:$L$7,9)</f>
        <v>12</v>
      </c>
      <c r="L33" s="694"/>
      <c r="M33" s="91"/>
      <c r="N33" s="91"/>
      <c r="O33" s="91"/>
      <c r="P33" s="43"/>
      <c r="Q33" s="42"/>
      <c r="R33" s="91"/>
      <c r="S33" s="684">
        <f>Y14</f>
        <v>6</v>
      </c>
      <c r="T33" s="684"/>
      <c r="U33" s="3"/>
      <c r="V33" s="3"/>
      <c r="W33" s="3"/>
      <c r="X33" s="3"/>
      <c r="Y33" s="3"/>
      <c r="Z33" s="3"/>
      <c r="AA33" s="3"/>
      <c r="AB33" s="695">
        <f>L10</f>
        <v>51</v>
      </c>
      <c r="AC33" s="695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50"/>
      <c r="AQ33" s="693"/>
      <c r="AR33" s="693"/>
      <c r="AS33" s="693"/>
      <c r="AT33" s="693"/>
      <c r="AU33" s="693"/>
      <c r="AV33" s="693"/>
      <c r="AW33" s="693"/>
      <c r="AX33" s="693"/>
      <c r="AY33" s="693"/>
      <c r="AZ33" s="693"/>
      <c r="BA33" s="693"/>
      <c r="BB33" s="693"/>
      <c r="BC33" s="693"/>
      <c r="BD33" s="51"/>
      <c r="BE33" s="3"/>
      <c r="BF33" s="94"/>
      <c r="BG33" s="94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</row>
    <row r="34" spans="1:86" ht="16.5" customHeight="1">
      <c r="A34" s="92"/>
      <c r="B34" s="92"/>
      <c r="C34" s="92"/>
      <c r="D34" s="92"/>
      <c r="E34" s="94"/>
      <c r="F34" s="3"/>
      <c r="G34" s="91"/>
      <c r="H34" s="91"/>
      <c r="I34" s="3"/>
      <c r="J34" s="3"/>
      <c r="K34" s="89"/>
      <c r="L34" s="3"/>
      <c r="M34" s="3"/>
      <c r="N34" s="3"/>
      <c r="O34" s="3"/>
      <c r="P34" s="91"/>
      <c r="Q34" s="91"/>
      <c r="R34" s="91"/>
      <c r="S34" s="3"/>
      <c r="T34" s="681">
        <f>Y15</f>
        <v>34.75</v>
      </c>
      <c r="U34" s="681"/>
      <c r="V34" s="681"/>
      <c r="W34" s="697" t="s">
        <v>199</v>
      </c>
      <c r="X34" s="697"/>
      <c r="Y34" s="697"/>
      <c r="Z34" s="697"/>
      <c r="AA34" s="697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50"/>
      <c r="AQ34" s="693"/>
      <c r="AR34" s="693"/>
      <c r="AS34" s="693"/>
      <c r="AT34" s="693"/>
      <c r="AU34" s="693"/>
      <c r="AV34" s="693"/>
      <c r="AW34" s="693"/>
      <c r="AX34" s="693"/>
      <c r="AY34" s="693"/>
      <c r="AZ34" s="693"/>
      <c r="BA34" s="693"/>
      <c r="BB34" s="693"/>
      <c r="BC34" s="693"/>
      <c r="BD34" s="51"/>
      <c r="BE34" s="3"/>
      <c r="BF34" s="94"/>
      <c r="BG34" s="94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</row>
    <row r="35" spans="1:86" ht="16.5" customHeight="1">
      <c r="A35" s="114"/>
      <c r="B35" s="114"/>
      <c r="C35" s="114"/>
      <c r="D35" s="114"/>
      <c r="E35" s="94"/>
      <c r="F35" s="3"/>
      <c r="G35" s="3"/>
      <c r="H35" s="3"/>
      <c r="I35" s="34" t="s">
        <v>44</v>
      </c>
      <c r="J35" s="3"/>
      <c r="K35" s="89"/>
      <c r="L35" s="8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50"/>
      <c r="AQ35" s="693"/>
      <c r="AR35" s="693"/>
      <c r="AS35" s="693"/>
      <c r="AT35" s="693"/>
      <c r="AU35" s="693"/>
      <c r="AV35" s="693"/>
      <c r="AW35" s="693"/>
      <c r="AX35" s="693"/>
      <c r="AY35" s="693"/>
      <c r="AZ35" s="693"/>
      <c r="BA35" s="693"/>
      <c r="BB35" s="693"/>
      <c r="BC35" s="693"/>
      <c r="BD35" s="51"/>
      <c r="BE35" s="3"/>
      <c r="BF35" s="94"/>
      <c r="BG35" s="94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</row>
    <row r="36" spans="1:86" ht="16.5" customHeight="1">
      <c r="A36" s="114"/>
      <c r="B36" s="114"/>
      <c r="C36" s="114"/>
      <c r="D36" s="114"/>
      <c r="E36" s="94"/>
      <c r="F36" s="3"/>
      <c r="G36" s="3"/>
      <c r="H36" s="3"/>
      <c r="I36" s="3"/>
      <c r="J36" s="3"/>
      <c r="K36" s="89"/>
      <c r="L36" s="89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52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53"/>
      <c r="BE36" s="3"/>
      <c r="BF36" s="94"/>
      <c r="BG36" s="94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</row>
    <row r="37" spans="1:86" ht="16.5" customHeight="1">
      <c r="A37" s="92"/>
      <c r="B37" s="92"/>
      <c r="C37" s="92"/>
      <c r="D37" s="92"/>
      <c r="E37" s="94"/>
      <c r="F37" s="3"/>
      <c r="H37" s="679" t="s">
        <v>200</v>
      </c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79"/>
      <c r="AC37" s="679"/>
      <c r="AD37" s="679"/>
      <c r="AE37" s="679"/>
      <c r="AF37" s="679"/>
      <c r="AG37" s="257"/>
      <c r="AH37" s="257"/>
      <c r="AI37" s="257"/>
      <c r="AJ37" s="257"/>
      <c r="AK37" s="257"/>
      <c r="AL37" s="257"/>
      <c r="AM37" s="257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94"/>
      <c r="BG37" s="94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</row>
    <row r="38" spans="1:86" ht="16.5" customHeight="1">
      <c r="A38" s="92"/>
      <c r="B38" s="92"/>
      <c r="C38" s="92"/>
      <c r="D38" s="92"/>
      <c r="E38" s="94"/>
      <c r="F38" s="3"/>
      <c r="G38" s="3"/>
      <c r="H38" s="679"/>
      <c r="I38" s="679"/>
      <c r="J38" s="679"/>
      <c r="K38" s="679"/>
      <c r="L38" s="679"/>
      <c r="M38" s="679"/>
      <c r="N38" s="679"/>
      <c r="O38" s="679"/>
      <c r="P38" s="679"/>
      <c r="Q38" s="679"/>
      <c r="R38" s="679"/>
      <c r="S38" s="679"/>
      <c r="T38" s="679"/>
      <c r="U38" s="679"/>
      <c r="V38" s="679"/>
      <c r="W38" s="679"/>
      <c r="X38" s="679"/>
      <c r="Y38" s="679"/>
      <c r="Z38" s="679"/>
      <c r="AA38" s="679"/>
      <c r="AB38" s="679"/>
      <c r="AC38" s="679"/>
      <c r="AD38" s="679"/>
      <c r="AE38" s="679"/>
      <c r="AF38" s="679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94"/>
      <c r="BG38" s="94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</row>
    <row r="39" spans="1:86" ht="16.5" customHeight="1">
      <c r="A39" s="92"/>
      <c r="B39" s="92"/>
      <c r="C39" s="92"/>
      <c r="D39" s="92"/>
      <c r="E39" s="94"/>
      <c r="F39" s="3"/>
      <c r="G39" s="20"/>
      <c r="H39" s="3"/>
      <c r="I39" s="3"/>
      <c r="J39" s="3"/>
      <c r="K39" s="45"/>
      <c r="L39" s="45"/>
      <c r="M39" s="3"/>
      <c r="N39" s="3"/>
      <c r="O39" s="3"/>
      <c r="P39" s="3"/>
      <c r="Q39" s="3"/>
      <c r="R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94"/>
      <c r="BG39" s="94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</row>
    <row r="40" spans="1:86" ht="16.5" customHeight="1">
      <c r="A40" s="92"/>
      <c r="B40" s="92"/>
      <c r="C40" s="92"/>
      <c r="D40" s="92"/>
      <c r="E40" s="94"/>
      <c r="F40" s="3"/>
      <c r="G40" s="44"/>
      <c r="H40" s="3"/>
      <c r="I40" s="3"/>
      <c r="J40" s="3"/>
      <c r="K40" s="45"/>
      <c r="L40" s="45"/>
      <c r="M40" s="3"/>
      <c r="N40" s="3"/>
      <c r="O40" s="3"/>
      <c r="P40" s="3"/>
      <c r="Q40" s="3"/>
      <c r="R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696">
        <f>O16+O17/12+S52+P51/12+Q55</f>
        <v>290.04770833333333</v>
      </c>
      <c r="AH40" s="696"/>
      <c r="AI40" s="696"/>
      <c r="AJ40" s="39" t="s">
        <v>13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94"/>
      <c r="BG40" s="94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</row>
    <row r="41" spans="1:86" ht="16.5" customHeight="1">
      <c r="A41" s="92"/>
      <c r="B41" s="92"/>
      <c r="C41" s="92"/>
      <c r="D41" s="92"/>
      <c r="E41" s="94"/>
      <c r="F41" s="3"/>
      <c r="G41" s="7"/>
      <c r="H41" s="3"/>
      <c r="I41" s="3"/>
      <c r="J41" s="3"/>
      <c r="K41" s="45"/>
      <c r="L41" s="45"/>
      <c r="M41" s="3"/>
      <c r="N41" s="3"/>
      <c r="O41" s="3"/>
      <c r="P41" s="3"/>
      <c r="Q41" s="3"/>
      <c r="R41" s="45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94"/>
      <c r="BG41" s="94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</row>
    <row r="42" spans="1:86" ht="16.5" customHeight="1">
      <c r="A42" s="92"/>
      <c r="B42" s="92"/>
      <c r="C42" s="92"/>
      <c r="D42" s="92"/>
      <c r="E42" s="94"/>
      <c r="F42" s="3"/>
      <c r="G42" s="110"/>
      <c r="H42" s="111"/>
      <c r="I42" s="70"/>
      <c r="J42" s="72"/>
      <c r="K42" s="71"/>
      <c r="L42" s="71"/>
      <c r="M42" s="72"/>
      <c r="N42" s="72"/>
      <c r="O42" s="72"/>
      <c r="P42" s="72"/>
      <c r="Q42" s="72"/>
      <c r="R42" s="71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3"/>
      <c r="BB42" s="3"/>
      <c r="BC42" s="3"/>
      <c r="BD42" s="3"/>
      <c r="BE42" s="3"/>
      <c r="BF42" s="94"/>
      <c r="BG42" s="94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</row>
    <row r="43" spans="1:86" ht="16.5" customHeight="1">
      <c r="A43" s="92"/>
      <c r="B43" s="92"/>
      <c r="C43" s="92"/>
      <c r="D43" s="92"/>
      <c r="E43" s="94"/>
      <c r="F43" s="3"/>
      <c r="G43" s="110"/>
      <c r="H43" s="112"/>
      <c r="I43" s="74"/>
      <c r="J43" s="61"/>
      <c r="K43" s="61"/>
      <c r="L43" s="61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76">
        <f>C25</f>
        <v>40</v>
      </c>
      <c r="AB43" s="676"/>
      <c r="AC43" s="698" t="s">
        <v>45</v>
      </c>
      <c r="AD43" s="698"/>
      <c r="AE43" s="698"/>
      <c r="AF43" s="698"/>
      <c r="AG43" s="698"/>
      <c r="AH43" s="698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75"/>
      <c r="BB43" s="3"/>
      <c r="BC43" s="3"/>
      <c r="BD43" s="3"/>
      <c r="BE43" s="3"/>
      <c r="BF43" s="94"/>
      <c r="BG43" s="94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</row>
    <row r="44" spans="1:86" ht="16.5" customHeight="1">
      <c r="A44" s="92"/>
      <c r="B44" s="92"/>
      <c r="C44" s="92"/>
      <c r="D44" s="92"/>
      <c r="E44" s="94"/>
      <c r="F44" s="3"/>
      <c r="G44" s="110"/>
      <c r="H44" s="112"/>
      <c r="I44" s="74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76"/>
      <c r="AB44" s="676"/>
      <c r="AC44" s="698"/>
      <c r="AD44" s="698"/>
      <c r="AE44" s="698"/>
      <c r="AF44" s="698"/>
      <c r="AG44" s="698"/>
      <c r="AH44" s="698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75"/>
      <c r="BB44" s="3"/>
      <c r="BC44" s="3"/>
      <c r="BD44" s="3"/>
      <c r="BE44" s="3"/>
      <c r="BF44" s="94"/>
      <c r="BG44" s="94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</row>
    <row r="45" spans="1:86" ht="16.5" customHeight="1">
      <c r="A45" s="92"/>
      <c r="B45" s="92"/>
      <c r="C45" s="92"/>
      <c r="D45" s="92"/>
      <c r="E45" s="94"/>
      <c r="F45" s="3"/>
      <c r="G45" s="110"/>
      <c r="H45" s="112"/>
      <c r="I45" s="74"/>
      <c r="J45" s="61"/>
      <c r="K45" s="61"/>
      <c r="L45" s="61"/>
      <c r="M45" s="62"/>
      <c r="N45" s="62"/>
      <c r="O45" s="62"/>
      <c r="P45" s="62"/>
      <c r="Q45" s="62"/>
      <c r="R45" s="64"/>
      <c r="S45" s="64"/>
      <c r="T45" s="64"/>
      <c r="U45" s="65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6">
        <f>O17</f>
        <v>12</v>
      </c>
      <c r="AZ45" s="66" t="s">
        <v>8</v>
      </c>
      <c r="BA45" s="75"/>
      <c r="BB45" s="3"/>
      <c r="BC45" s="3"/>
      <c r="BD45" s="3"/>
      <c r="BE45" s="3"/>
      <c r="BF45" s="94"/>
      <c r="BG45" s="94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</row>
    <row r="46" spans="1:86" ht="16.5" customHeight="1">
      <c r="A46" s="92"/>
      <c r="B46" s="92"/>
      <c r="C46" s="92"/>
      <c r="D46" s="92"/>
      <c r="E46" s="94"/>
      <c r="F46" s="3"/>
      <c r="G46" s="110"/>
      <c r="H46" s="112"/>
      <c r="I46" s="74"/>
      <c r="J46" s="61"/>
      <c r="K46" s="61"/>
      <c r="L46" s="61"/>
      <c r="M46" s="62"/>
      <c r="N46" s="62"/>
      <c r="O46" s="62"/>
      <c r="P46" s="62"/>
      <c r="Q46" s="62"/>
      <c r="R46" s="680">
        <f>O14</f>
        <v>84.9</v>
      </c>
      <c r="S46" s="680"/>
      <c r="T46" s="101" t="s">
        <v>8</v>
      </c>
      <c r="U46" s="100" t="s">
        <v>46</v>
      </c>
      <c r="V46" s="99"/>
      <c r="W46" s="66"/>
      <c r="X46" s="66"/>
      <c r="Y46" s="66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735" t="s">
        <v>46</v>
      </c>
      <c r="AZ46" s="735"/>
      <c r="BA46" s="75"/>
      <c r="BB46" s="3"/>
      <c r="BC46" s="3"/>
      <c r="BD46" s="3"/>
      <c r="BE46" s="3"/>
      <c r="BF46" s="94"/>
      <c r="BG46" s="94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</row>
    <row r="47" spans="1:86" ht="16.5" customHeight="1">
      <c r="A47" s="92"/>
      <c r="B47" s="92"/>
      <c r="C47" s="92"/>
      <c r="D47" s="92"/>
      <c r="E47" s="94"/>
      <c r="F47" s="3"/>
      <c r="G47" s="110"/>
      <c r="H47" s="112"/>
      <c r="I47" s="74"/>
      <c r="J47" s="61"/>
      <c r="K47" s="61"/>
      <c r="L47" s="61"/>
      <c r="M47" s="68"/>
      <c r="N47" s="62"/>
      <c r="O47" s="62"/>
      <c r="P47" s="62"/>
      <c r="Q47" s="62"/>
      <c r="R47" s="64"/>
      <c r="S47" s="64"/>
      <c r="T47" s="64"/>
      <c r="U47" s="99"/>
      <c r="V47" s="99"/>
      <c r="W47" s="62"/>
      <c r="X47" s="62"/>
      <c r="Y47" s="168"/>
      <c r="Z47" s="171"/>
      <c r="AA47" s="171"/>
      <c r="AB47" s="171"/>
      <c r="AC47" s="171"/>
      <c r="AD47" s="171"/>
      <c r="AE47" s="171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75"/>
      <c r="BB47" s="3"/>
      <c r="BC47" s="3"/>
      <c r="BD47" s="3"/>
      <c r="BE47" s="3"/>
      <c r="BF47" s="94"/>
      <c r="BG47" s="94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</row>
    <row r="48" spans="1:86" ht="16.5" customHeight="1">
      <c r="A48" s="92"/>
      <c r="B48" s="92"/>
      <c r="C48" s="92"/>
      <c r="D48" s="92"/>
      <c r="E48" s="94"/>
      <c r="F48" s="3"/>
      <c r="G48" s="110"/>
      <c r="H48" s="112"/>
      <c r="I48" s="74"/>
      <c r="J48" s="61"/>
      <c r="K48" s="61"/>
      <c r="L48" s="764" t="str">
        <f>IF(C5=1,VLOOKUP(C13,Data!D106:P134,2),IF(C5=2,VLOOKUP(C15,Data!D13:P85,2),IF(C5=3,VLOOKUP(C17,Data!Q13:AC90,2),VLOOKUP(C19,Data!Q106:AC190,2))))</f>
        <v>15" x 15"</v>
      </c>
      <c r="M48" s="764"/>
      <c r="N48" s="764"/>
      <c r="O48" s="735" t="s">
        <v>154</v>
      </c>
      <c r="P48" s="735"/>
      <c r="Q48" s="735"/>
      <c r="R48" s="735"/>
      <c r="S48" s="224">
        <f>IF(C21=1,C8,ROUND(0.5*C8,0))</f>
        <v>4</v>
      </c>
      <c r="T48" s="224" t="s">
        <v>155</v>
      </c>
      <c r="U48" s="62"/>
      <c r="V48" s="168"/>
      <c r="W48" s="168"/>
      <c r="X48" s="168"/>
      <c r="Y48" s="171"/>
      <c r="Z48" s="171"/>
      <c r="AA48" s="171"/>
      <c r="AB48" s="171"/>
      <c r="AC48" s="171"/>
      <c r="AD48" s="171"/>
      <c r="AE48" s="171"/>
      <c r="AF48" s="62"/>
      <c r="AG48" s="62"/>
      <c r="AH48" s="62"/>
      <c r="AI48" s="62"/>
      <c r="AJ48" s="682" t="s">
        <v>156</v>
      </c>
      <c r="AK48" s="682"/>
      <c r="AL48" s="682"/>
      <c r="AM48" s="682"/>
      <c r="AN48" s="682"/>
      <c r="AO48" s="682"/>
      <c r="AP48" s="682"/>
      <c r="AQ48" s="682"/>
      <c r="AR48" s="682"/>
      <c r="AS48" s="682"/>
      <c r="AT48" s="683">
        <f>Y15*M20</f>
        <v>10078.491822916667</v>
      </c>
      <c r="AU48" s="683"/>
      <c r="AV48" s="683"/>
      <c r="AW48" s="69" t="s">
        <v>47</v>
      </c>
      <c r="AX48" s="62"/>
      <c r="AY48" s="62"/>
      <c r="AZ48" s="62"/>
      <c r="BA48" s="75"/>
      <c r="BB48" s="3"/>
      <c r="BC48" s="3"/>
      <c r="BD48" s="3"/>
      <c r="BE48" s="3"/>
      <c r="BF48" s="94"/>
      <c r="BG48" s="94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</row>
    <row r="49" spans="1:86" ht="16.5" customHeight="1">
      <c r="A49" s="92"/>
      <c r="B49" s="92"/>
      <c r="C49" s="92"/>
      <c r="D49" s="92"/>
      <c r="E49" s="94"/>
      <c r="F49" s="3"/>
      <c r="G49" s="110"/>
      <c r="H49" s="112"/>
      <c r="I49" s="74"/>
      <c r="J49" s="61"/>
      <c r="K49" s="61"/>
      <c r="L49" s="61"/>
      <c r="M49" s="173"/>
      <c r="N49" s="173"/>
      <c r="O49" s="173"/>
      <c r="P49" s="732" t="s">
        <v>72</v>
      </c>
      <c r="Q49" s="732"/>
      <c r="R49" s="732"/>
      <c r="S49" s="732" t="s">
        <v>73</v>
      </c>
      <c r="T49" s="732"/>
      <c r="U49" s="62"/>
      <c r="V49" s="168"/>
      <c r="W49" s="168"/>
      <c r="X49" s="66"/>
      <c r="Y49" s="66"/>
      <c r="Z49" s="168"/>
      <c r="AA49" s="168"/>
      <c r="AB49" s="168"/>
      <c r="AC49" s="168"/>
      <c r="AD49" s="168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172"/>
      <c r="AR49" s="172"/>
      <c r="AS49" s="172"/>
      <c r="AT49" s="172"/>
      <c r="AU49" s="172"/>
      <c r="AV49" s="172"/>
      <c r="AW49" s="172"/>
      <c r="AX49" s="62"/>
      <c r="AY49" s="62"/>
      <c r="AZ49" s="62"/>
      <c r="BA49" s="75"/>
      <c r="BB49" s="3"/>
      <c r="BC49" s="3"/>
      <c r="BD49" s="3"/>
      <c r="BE49" s="3"/>
      <c r="BF49" s="94"/>
      <c r="BG49" s="94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</row>
    <row r="50" spans="1:86" ht="16.5" customHeight="1">
      <c r="A50" s="92"/>
      <c r="B50" s="92"/>
      <c r="C50" s="92"/>
      <c r="D50" s="92"/>
      <c r="E50" s="740">
        <f>IF(C5=1,(Y13*L10+(Y13-1)*Y14-L10+VLOOKUP(C13,Data!D106:P134,10))/12,IF(C5=2,(Y13*L10+(Y13-1)*Y14-L10+VLOOKUP(C15,Data!D13:P85,10))/12,IF(C5=3,(Y13*L10+(Y13-1)*Y14-L10+VLOOKUP(C17,Data!Q13:AC90,10))/12,(Y13*L10+(Y13-1)*Y14-L10+VLOOKUP(C19,Data!Q106:AC190,10))/12)))</f>
        <v>29.977500000000003</v>
      </c>
      <c r="F50" s="740"/>
      <c r="G50" s="740"/>
      <c r="H50" s="161" t="s">
        <v>13</v>
      </c>
      <c r="I50" s="74"/>
      <c r="J50" s="61"/>
      <c r="K50" s="61"/>
      <c r="L50" s="220" t="s">
        <v>152</v>
      </c>
      <c r="M50" s="218"/>
      <c r="N50" s="218"/>
      <c r="O50" s="170"/>
      <c r="P50" s="730">
        <f>IF(C5=1,VLOOKUP(C13,Data!D106:P134,5),IF(C5=2,VLOOKUP(C15,Data!D13:P85,5),IF(C5=3,VLOOKUP(C17,Data!Q13:AC90,5),VLOOKUP(C19,Data!Q106:AC190,5))))</f>
        <v>15</v>
      </c>
      <c r="Q50" s="730"/>
      <c r="R50" s="219"/>
      <c r="S50" s="730">
        <f>IF(C5=1,VLOOKUP(C13,Data!D106:P134,6),IF(C5=2,VLOOKUP(C15,Data!D13:P85,6),IF(C5=3,VLOOKUP(C17,Data!Q13:AC90,6),VLOOKUP(C19,Data!Q106:AC190,6))))</f>
        <v>15</v>
      </c>
      <c r="T50" s="730"/>
      <c r="U50" s="218"/>
      <c r="V50" s="168"/>
      <c r="W50" s="168"/>
      <c r="X50" s="168"/>
      <c r="Y50" s="168"/>
      <c r="Z50" s="168"/>
      <c r="AA50" s="168"/>
      <c r="AB50" s="168"/>
      <c r="AC50" s="168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75"/>
      <c r="BB50" s="741">
        <f>(Y13*L10+(Y13-1)*Y14)/12</f>
        <v>32.75</v>
      </c>
      <c r="BC50" s="681"/>
      <c r="BD50" s="681"/>
      <c r="BE50" s="40" t="s">
        <v>13</v>
      </c>
      <c r="BF50" s="94"/>
      <c r="BG50" s="94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</row>
    <row r="51" spans="1:86" ht="16.5" customHeight="1">
      <c r="A51" s="92"/>
      <c r="B51" s="92"/>
      <c r="C51" s="92"/>
      <c r="D51" s="92"/>
      <c r="E51" s="94"/>
      <c r="F51" s="3"/>
      <c r="G51" s="110"/>
      <c r="H51" s="112"/>
      <c r="I51" s="74"/>
      <c r="J51" s="61"/>
      <c r="K51" s="61"/>
      <c r="L51" s="221" t="s">
        <v>153</v>
      </c>
      <c r="M51" s="62"/>
      <c r="N51" s="62"/>
      <c r="O51" s="173"/>
      <c r="P51" s="731">
        <f>IF(C5=1,VLOOKUP(C13,Data!D106:P134,9),IF(C5=2,VLOOKUP(C15,Data!D13:P85,9),IF(C5=3,VLOOKUP(C17,Data!Q13:AC90,9),VLOOKUP(C19,Data!Q106:AC190,9))))</f>
        <v>17.73</v>
      </c>
      <c r="Q51" s="731"/>
      <c r="R51" s="175"/>
      <c r="S51" s="731">
        <f>IF(C5=1,VLOOKUP(C13,Data!D106:P134,10),IF(C5=2,VLOOKUP(C15,Data!D13:P85,10),IF(C5=3,VLOOKUP(C17,Data!Q13:AC90,10),VLOOKUP(C19,Data!Q106:AC190,10))))</f>
        <v>17.73</v>
      </c>
      <c r="T51" s="731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82">
        <f>C8</f>
        <v>7</v>
      </c>
      <c r="AH51" s="682"/>
      <c r="AI51" s="63" t="s">
        <v>48</v>
      </c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75"/>
      <c r="BB51" s="3"/>
      <c r="BC51" s="3"/>
      <c r="BD51" s="3"/>
      <c r="BE51" s="3"/>
      <c r="BF51" s="94"/>
      <c r="BG51" s="94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</row>
    <row r="52" spans="1:86" ht="16.5" customHeight="1">
      <c r="A52" s="92"/>
      <c r="B52" s="92"/>
      <c r="C52" s="92"/>
      <c r="D52" s="92"/>
      <c r="E52" s="94"/>
      <c r="F52" s="3"/>
      <c r="G52" s="110"/>
      <c r="H52" s="112"/>
      <c r="I52" s="74"/>
      <c r="J52" s="61"/>
      <c r="K52" s="61"/>
      <c r="L52" s="221" t="s">
        <v>151</v>
      </c>
      <c r="M52" s="62"/>
      <c r="N52" s="62"/>
      <c r="O52" s="173"/>
      <c r="P52" s="731">
        <f>E50</f>
        <v>29.977500000000003</v>
      </c>
      <c r="Q52" s="731"/>
      <c r="R52" s="175"/>
      <c r="S52" s="731">
        <f>IF(C5=1,VLOOKUP(C13,Data!D106:P134,4)/12-1,IF(C5=2,VLOOKUP(C15,Data!D13:P85,4)/12-1,IF(C5=3,VLOOKUP(C17,Data!Q13:AC90,4)/12-1,VLOOKUP(C19,Data!Q106:AC190,4)/12-1)))</f>
        <v>2.0208333333333335</v>
      </c>
      <c r="T52" s="731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75"/>
      <c r="BC52" s="109"/>
      <c r="BD52" s="740">
        <f>(Y13*L10+(Y13-1)*Y14+2*K33)/12</f>
        <v>34.75</v>
      </c>
      <c r="BE52" s="740"/>
      <c r="BF52" s="740"/>
      <c r="BG52" s="10" t="s">
        <v>13</v>
      </c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</row>
    <row r="53" spans="1:86" ht="16.5" customHeight="1">
      <c r="A53" s="92"/>
      <c r="B53" s="92"/>
      <c r="C53" s="92"/>
      <c r="D53" s="92"/>
      <c r="E53" s="94"/>
      <c r="F53" s="3"/>
      <c r="G53" s="110"/>
      <c r="H53" s="112"/>
      <c r="I53" s="74"/>
      <c r="J53" s="61"/>
      <c r="K53" s="61"/>
      <c r="L53" s="222" t="s">
        <v>157</v>
      </c>
      <c r="M53" s="173"/>
      <c r="N53" s="173"/>
      <c r="O53" s="173"/>
      <c r="P53" s="733">
        <f>IF(C5=1,VLOOKUP(C13,Data!D106:P134,7),IF(C5=2,VLOOKUP(C15,Data!D13:P85,7),IF(C5=3,VLOOKUP(C17,Data!Q13:AC90,7),VLOOKUP(C19,Data!Q106:AC190,7))))*P52</f>
        <v>36.787927255073448</v>
      </c>
      <c r="Q53" s="733"/>
      <c r="R53" s="175"/>
      <c r="S53" s="733">
        <f>IF(C5=1,VLOOKUP(C13,Data!D106:P134,8),IF(C5=2,VLOOKUP(C15,Data!D13:P85,8),IF(C5=3,VLOOKUP(C17,Data!Q13:AC90,8),VLOOKUP(C19,Data!Q106:AC190,8))))*S52</f>
        <v>2.4799356070817868</v>
      </c>
      <c r="T53" s="733"/>
      <c r="U53" s="173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75"/>
      <c r="BB53" s="3"/>
      <c r="BC53" s="3"/>
      <c r="BD53" s="3"/>
      <c r="BE53" s="3"/>
      <c r="BF53" s="94"/>
      <c r="BG53" s="94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</row>
    <row r="54" spans="1:86" ht="16.5" customHeight="1">
      <c r="A54" s="92"/>
      <c r="B54" s="92"/>
      <c r="C54" s="92"/>
      <c r="D54" s="92"/>
      <c r="E54" s="94"/>
      <c r="F54" s="3"/>
      <c r="G54" s="110"/>
      <c r="H54" s="112"/>
      <c r="I54" s="74"/>
      <c r="J54" s="61"/>
      <c r="K54" s="61"/>
      <c r="L54" s="223" t="s">
        <v>158</v>
      </c>
      <c r="M54" s="174"/>
      <c r="N54" s="174"/>
      <c r="O54" s="174"/>
      <c r="P54" s="734">
        <f>IF(C5=1,VLOOKUP(C13,Data!D106:P134,11),IF(C5=2,VLOOKUP(C15,Data!D13:P85,11),IF(C5=3,VLOOKUP(C17,Data!Q13:AC90,11),VLOOKUP(C19,Data!Q106:AC190,11))))*P52</f>
        <v>51.39729607831724</v>
      </c>
      <c r="Q54" s="734"/>
      <c r="R54" s="176"/>
      <c r="S54" s="734">
        <f>IF(C5=1,VLOOKUP(C13,Data!D106:P134,12),IF(C5=2,VLOOKUP(C15,Data!D13:P85,12),IF(C5=3,VLOOKUP(C17,Data!Q13:AC90,12),VLOOKUP(C19,Data!Q106:AC190,12))))*S52</f>
        <v>3.464777555108534</v>
      </c>
      <c r="T54" s="734"/>
      <c r="U54" s="174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75"/>
      <c r="BB54" s="3"/>
      <c r="BC54" s="3"/>
      <c r="BD54" s="3"/>
      <c r="BE54" s="3"/>
      <c r="BF54" s="94"/>
      <c r="BG54" s="94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</row>
    <row r="55" spans="1:86" ht="16.5" customHeight="1">
      <c r="A55" s="92"/>
      <c r="B55" s="92"/>
      <c r="C55" s="92"/>
      <c r="D55" s="92"/>
      <c r="E55" s="94"/>
      <c r="F55" s="3"/>
      <c r="G55" s="110"/>
      <c r="H55" s="112"/>
      <c r="I55" s="74"/>
      <c r="J55" s="61"/>
      <c r="K55" s="61"/>
      <c r="L55" s="183" t="s">
        <v>167</v>
      </c>
      <c r="M55" s="183"/>
      <c r="N55" s="183"/>
      <c r="O55" s="183"/>
      <c r="P55" s="183"/>
      <c r="Q55" s="768">
        <f>IF(C5=1,VLOOKUP(C13,Data!D106:P134,13),IF(C5=2,VLOOKUP(C15,Data!D13:P85,13),IF(C5=3,VLOOKUP(C17,Data!Q13:AC90,13),VLOOKUP(C19,Data!Q106:AC190,13))))</f>
        <v>0.8693749999999999</v>
      </c>
      <c r="R55" s="768"/>
      <c r="S55" s="169" t="s">
        <v>13</v>
      </c>
      <c r="T55" s="168"/>
      <c r="U55" s="168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75"/>
      <c r="BB55" s="3"/>
      <c r="BC55" s="3"/>
      <c r="BD55" s="3"/>
      <c r="BE55" s="3"/>
      <c r="BF55" s="94"/>
      <c r="BG55" s="94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</row>
    <row r="56" spans="1:86" ht="16.5" customHeight="1">
      <c r="A56" s="92"/>
      <c r="B56" s="92"/>
      <c r="C56" s="92"/>
      <c r="D56" s="92"/>
      <c r="E56" s="94"/>
      <c r="F56" s="3"/>
      <c r="G56" s="110"/>
      <c r="H56" s="112"/>
      <c r="I56" s="74"/>
      <c r="J56" s="61"/>
      <c r="K56" s="61"/>
      <c r="L56" s="184" t="s">
        <v>168</v>
      </c>
      <c r="M56" s="184"/>
      <c r="N56" s="184"/>
      <c r="O56" s="184"/>
      <c r="P56" s="184"/>
      <c r="Q56" s="769">
        <f>IF(C5=1,VLOOKUP(C13,Data!D106:P134,3),IF(C5=2,VLOOKUP(C15,Data!D13:P85,3),IF(C5=3,VLOOKUP(C17,Data!Q13:AC90,3),VLOOKUP(C19,Data!Q106:AC190,3))))/12-1</f>
        <v>3.479166666666667</v>
      </c>
      <c r="R56" s="769"/>
      <c r="S56" s="62" t="s">
        <v>13</v>
      </c>
      <c r="T56" s="168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82">
        <f>VLOOKUP($C$5,Data!$B$4:$L$7,5)</f>
        <v>10.08</v>
      </c>
      <c r="AW56" s="682"/>
      <c r="AX56" s="682"/>
      <c r="AY56" s="69" t="s">
        <v>8</v>
      </c>
      <c r="AZ56" s="67" t="s">
        <v>46</v>
      </c>
      <c r="BA56" s="75"/>
      <c r="BB56" s="3"/>
      <c r="BC56" s="3"/>
      <c r="BD56" s="3"/>
      <c r="BE56" s="3"/>
      <c r="BF56" s="94"/>
      <c r="BG56" s="94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</row>
    <row r="57" spans="1:86" ht="16.5" customHeight="1">
      <c r="A57" s="92"/>
      <c r="B57" s="92"/>
      <c r="C57" s="92"/>
      <c r="D57" s="92"/>
      <c r="E57" s="94"/>
      <c r="F57" s="3"/>
      <c r="G57" s="110"/>
      <c r="H57" s="112"/>
      <c r="I57" s="74"/>
      <c r="J57" s="61"/>
      <c r="K57" s="61"/>
      <c r="L57" s="61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75"/>
      <c r="BB57" s="3"/>
      <c r="BC57" s="3"/>
      <c r="BD57" s="3"/>
      <c r="BE57" s="3"/>
      <c r="BF57" s="94"/>
      <c r="BG57" s="94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</row>
    <row r="58" spans="1:86" ht="16.5" customHeight="1">
      <c r="A58" s="92"/>
      <c r="B58" s="92"/>
      <c r="C58" s="92"/>
      <c r="D58" s="92"/>
      <c r="E58" s="94"/>
      <c r="F58" s="3"/>
      <c r="G58" s="110"/>
      <c r="H58" s="112"/>
      <c r="I58" s="74"/>
      <c r="J58" s="61"/>
      <c r="K58" s="61"/>
      <c r="L58" s="61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76">
        <f>C25</f>
        <v>40</v>
      </c>
      <c r="AB58" s="676"/>
      <c r="AC58" s="677" t="s">
        <v>45</v>
      </c>
      <c r="AD58" s="677"/>
      <c r="AE58" s="677"/>
      <c r="AF58" s="677"/>
      <c r="AG58" s="677"/>
      <c r="AH58" s="677"/>
      <c r="AI58" s="677"/>
      <c r="AJ58" s="677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75"/>
      <c r="BB58" s="3"/>
      <c r="BC58" s="3"/>
      <c r="BD58" s="3"/>
      <c r="BE58" s="3"/>
      <c r="BF58" s="94"/>
      <c r="BG58" s="94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</row>
    <row r="59" spans="1:86" ht="16.5" customHeight="1">
      <c r="A59" s="92"/>
      <c r="B59" s="92"/>
      <c r="C59" s="92"/>
      <c r="D59" s="92"/>
      <c r="E59" s="94"/>
      <c r="F59" s="3"/>
      <c r="G59" s="110"/>
      <c r="H59" s="112"/>
      <c r="I59" s="74"/>
      <c r="J59" s="61"/>
      <c r="K59" s="61"/>
      <c r="L59" s="61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76"/>
      <c r="AB59" s="676"/>
      <c r="AC59" s="677"/>
      <c r="AD59" s="677"/>
      <c r="AE59" s="677"/>
      <c r="AF59" s="677"/>
      <c r="AG59" s="677"/>
      <c r="AH59" s="677"/>
      <c r="AI59" s="677"/>
      <c r="AJ59" s="677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75"/>
      <c r="BB59" s="3"/>
      <c r="BC59" s="3"/>
      <c r="BD59" s="3"/>
      <c r="BE59" s="3"/>
      <c r="BF59" s="94"/>
      <c r="BG59" s="94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</row>
    <row r="60" spans="1:86" ht="16.5" customHeight="1">
      <c r="A60" s="92"/>
      <c r="B60" s="92"/>
      <c r="C60" s="92"/>
      <c r="D60" s="92"/>
      <c r="E60" s="94"/>
      <c r="F60" s="3"/>
      <c r="G60" s="110"/>
      <c r="H60" s="111"/>
      <c r="I60" s="76"/>
      <c r="J60" s="78"/>
      <c r="K60" s="77"/>
      <c r="L60" s="77"/>
      <c r="M60" s="78"/>
      <c r="N60" s="78"/>
      <c r="O60" s="78"/>
      <c r="P60" s="79"/>
      <c r="Q60" s="78"/>
      <c r="R60" s="78"/>
      <c r="S60" s="80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81"/>
      <c r="BB60" s="3"/>
      <c r="BC60" s="3"/>
      <c r="BD60" s="3"/>
      <c r="BE60" s="3"/>
      <c r="BF60" s="94"/>
      <c r="BG60" s="94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</row>
    <row r="61" spans="1:86" ht="16.5" customHeight="1">
      <c r="A61" s="92"/>
      <c r="B61" s="92"/>
      <c r="C61" s="92"/>
      <c r="D61" s="92"/>
      <c r="E61" s="94"/>
      <c r="F61" s="3"/>
      <c r="G61" s="3"/>
      <c r="H61" s="3"/>
      <c r="I61" s="765" t="s">
        <v>165</v>
      </c>
      <c r="J61" s="767" t="s">
        <v>166</v>
      </c>
      <c r="K61" s="45"/>
      <c r="L61" s="45"/>
      <c r="M61" s="3"/>
      <c r="N61" s="3"/>
      <c r="O61" s="26"/>
      <c r="P61" s="95">
        <f>K33</f>
        <v>12</v>
      </c>
      <c r="Q61" s="26" t="s">
        <v>8</v>
      </c>
      <c r="R61" s="58" t="s">
        <v>46</v>
      </c>
      <c r="S61" s="58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94"/>
      <c r="BG61" s="94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</row>
    <row r="62" spans="1:86" ht="16.5" customHeight="1">
      <c r="A62" s="92"/>
      <c r="B62" s="92"/>
      <c r="C62" s="92"/>
      <c r="D62" s="92"/>
      <c r="E62" s="94"/>
      <c r="F62" s="3"/>
      <c r="G62" s="3"/>
      <c r="H62" s="3"/>
      <c r="I62" s="766"/>
      <c r="J62" s="721"/>
      <c r="K62" s="45"/>
      <c r="L62" s="4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678">
        <f>(C25*O14+2*O15)/12</f>
        <v>284.68</v>
      </c>
      <c r="AA62" s="678"/>
      <c r="AB62" s="678"/>
      <c r="AC62" s="47" t="s">
        <v>13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94"/>
      <c r="BG62" s="94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</row>
    <row r="63" spans="1:86" ht="16.5" customHeight="1">
      <c r="A63" s="92"/>
      <c r="B63" s="92"/>
      <c r="C63" s="92"/>
      <c r="D63" s="92"/>
      <c r="E63" s="94"/>
      <c r="F63" s="3"/>
      <c r="G63" s="3"/>
      <c r="H63" s="3"/>
      <c r="I63" s="3"/>
      <c r="J63" s="3"/>
      <c r="K63" s="45"/>
      <c r="L63" s="4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94"/>
      <c r="BG63" s="94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</row>
    <row r="64" spans="1:86" ht="16.5" customHeight="1">
      <c r="A64" s="92"/>
      <c r="B64" s="92"/>
      <c r="C64" s="92"/>
      <c r="D64" s="92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</row>
    <row r="65" spans="1:86" ht="16.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</row>
    <row r="66" spans="1:86" ht="16.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</row>
    <row r="67" spans="1:86" ht="16.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</row>
    <row r="68" spans="1:86" ht="16.5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</row>
    <row r="69" spans="1:86" ht="16.5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</row>
    <row r="70" spans="1:86" ht="16.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</row>
    <row r="71" spans="1:86" ht="16.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</row>
    <row r="72" spans="1:86" ht="16.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</row>
    <row r="73" spans="1:86" ht="16.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</row>
    <row r="74" spans="1:86" ht="16.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</row>
    <row r="75" spans="1:86" ht="16.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</row>
    <row r="76" spans="1:86" ht="16.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</row>
    <row r="77" spans="1:86" ht="16.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</row>
    <row r="78" spans="1:86" ht="16.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</row>
    <row r="79" spans="1:86" ht="16.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</row>
    <row r="80" spans="1:86" ht="16.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</row>
    <row r="81" spans="1:86" ht="16.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</row>
    <row r="82" spans="1:86" ht="16.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</row>
    <row r="83" spans="1:86" ht="16.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</row>
    <row r="84" spans="1:86" ht="16.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</row>
    <row r="85" spans="1:86" ht="16.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</row>
    <row r="86" spans="1:86" ht="16.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</row>
    <row r="87" spans="1:86" ht="16.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</row>
    <row r="88" spans="1:86" ht="16.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</row>
    <row r="89" spans="1:86" ht="16.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</row>
    <row r="90" spans="1:86" ht="16.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</row>
    <row r="91" spans="1:86" ht="16.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</row>
    <row r="92" spans="1:86" ht="16.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</row>
    <row r="93" spans="1:86" ht="16.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</row>
    <row r="94" spans="1:86" ht="16.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</row>
    <row r="95" spans="1:86" ht="16.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</row>
    <row r="96" spans="1:86" ht="16.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</row>
    <row r="97" spans="1:86" ht="16.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</row>
    <row r="98" spans="1:86" ht="16.5" customHeight="1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</row>
    <row r="99" spans="1:86" ht="16.5" hidden="1" customHeight="1"/>
    <row r="100" spans="1:86" ht="16.5" hidden="1" customHeight="1"/>
    <row r="101" spans="1:86" ht="16.5" hidden="1" customHeight="1"/>
    <row r="102" spans="1:86" ht="16.5" hidden="1" customHeight="1"/>
    <row r="103" spans="1:86" ht="16.5" hidden="1" customHeight="1"/>
    <row r="104" spans="1:86" ht="16.5" hidden="1" customHeight="1"/>
    <row r="105" spans="1:86" ht="16.5" hidden="1" customHeight="1"/>
    <row r="106" spans="1:86" ht="16.5" hidden="1" customHeight="1"/>
    <row r="107" spans="1:86" ht="16.5" hidden="1" customHeight="1"/>
    <row r="108" spans="1:86" ht="16.5" hidden="1" customHeight="1"/>
    <row r="109" spans="1:86" ht="16.5" hidden="1" customHeight="1"/>
    <row r="110" spans="1:86" ht="16.5" hidden="1" customHeight="1"/>
    <row r="111" spans="1:86" ht="16.5" hidden="1" customHeight="1"/>
    <row r="112" spans="1:86" ht="16.5" hidden="1" customHeight="1"/>
    <row r="113" ht="16.5" hidden="1" customHeight="1"/>
    <row r="114" ht="16.5" hidden="1" customHeight="1"/>
    <row r="115" ht="16.5" hidden="1" customHeight="1"/>
    <row r="116" ht="16.5" hidden="1" customHeight="1"/>
    <row r="117" ht="16.5" hidden="1" customHeight="1"/>
    <row r="118" ht="16.5" hidden="1" customHeight="1"/>
    <row r="119" ht="16.5" hidden="1" customHeight="1"/>
    <row r="120" ht="16.5" hidden="1" customHeight="1"/>
    <row r="121" ht="16.5" hidden="1" customHeight="1"/>
    <row r="122" ht="16.5" hidden="1" customHeight="1"/>
    <row r="123" ht="16.5" hidden="1" customHeight="1"/>
    <row r="124" ht="16.5" hidden="1" customHeight="1"/>
    <row r="125" ht="16.5" hidden="1" customHeight="1"/>
    <row r="126" ht="16.5" hidden="1" customHeight="1"/>
    <row r="127" ht="16.5" hidden="1" customHeight="1"/>
    <row r="128" ht="16.5" hidden="1" customHeight="1"/>
    <row r="129" ht="16.5" hidden="1" customHeight="1"/>
    <row r="130" ht="16.5" hidden="1" customHeight="1"/>
    <row r="131" ht="16.5" hidden="1" customHeight="1"/>
    <row r="132" ht="16.5" hidden="1" customHeight="1"/>
    <row r="133" ht="16.5" hidden="1" customHeight="1"/>
    <row r="134" ht="16.5" hidden="1" customHeight="1"/>
    <row r="135" ht="16.5" hidden="1" customHeight="1"/>
    <row r="136" ht="16.5" hidden="1" customHeight="1"/>
    <row r="137" ht="16.5" hidden="1" customHeight="1"/>
    <row r="138" ht="16.5" hidden="1" customHeight="1"/>
    <row r="139" ht="16.5" hidden="1" customHeight="1"/>
    <row r="140" ht="16.5" hidden="1" customHeight="1"/>
    <row r="141" ht="16.5" hidden="1" customHeight="1"/>
    <row r="142" ht="16.5" hidden="1" customHeight="1"/>
    <row r="143" ht="16.5" hidden="1" customHeight="1"/>
    <row r="144" ht="16.5" hidden="1" customHeight="1"/>
    <row r="145" ht="16.5" hidden="1" customHeight="1"/>
    <row r="146" ht="16.5" hidden="1" customHeight="1"/>
    <row r="147" ht="16.5" hidden="1" customHeight="1"/>
    <row r="148" ht="16.5" hidden="1" customHeight="1"/>
    <row r="149" ht="16.5" hidden="1" customHeight="1"/>
    <row r="150" ht="16.5" hidden="1" customHeight="1"/>
    <row r="151" ht="16.5" hidden="1" customHeight="1"/>
    <row r="152" ht="16.5" hidden="1" customHeight="1"/>
    <row r="153" ht="16.5" hidden="1" customHeight="1"/>
    <row r="154" ht="16.5" hidden="1" customHeight="1"/>
    <row r="155" ht="16.5" hidden="1" customHeight="1"/>
    <row r="156" ht="16.5" hidden="1" customHeight="1"/>
    <row r="157" ht="16.5" hidden="1" customHeight="1"/>
    <row r="158" ht="16.5" hidden="1" customHeight="1"/>
    <row r="159" ht="16.5" hidden="1" customHeight="1"/>
    <row r="160" ht="16.5" hidden="1" customHeight="1"/>
    <row r="161" ht="16.5" hidden="1" customHeight="1"/>
    <row r="162" ht="16.5" hidden="1" customHeight="1"/>
    <row r="163" ht="16.5" hidden="1" customHeight="1"/>
    <row r="164" ht="16.5" hidden="1" customHeight="1"/>
    <row r="165" ht="16.5" hidden="1" customHeight="1"/>
    <row r="166" ht="16.5" hidden="1" customHeight="1"/>
    <row r="167" ht="16.5" hidden="1" customHeight="1"/>
    <row r="168" ht="16.5" hidden="1" customHeight="1"/>
    <row r="169" ht="16.5" hidden="1" customHeight="1"/>
    <row r="170" ht="16.5" hidden="1" customHeight="1"/>
    <row r="171" ht="16.5" hidden="1" customHeight="1"/>
    <row r="172" ht="16.5" hidden="1" customHeight="1"/>
    <row r="173" ht="16.5" hidden="1" customHeight="1"/>
    <row r="174" ht="16.5" hidden="1" customHeight="1"/>
    <row r="175" ht="16.5" hidden="1" customHeight="1"/>
    <row r="176" ht="16.5" hidden="1" customHeight="1"/>
    <row r="177" ht="16.5" hidden="1" customHeight="1"/>
    <row r="178" ht="16.5" hidden="1" customHeight="1"/>
    <row r="179" ht="16.5" hidden="1" customHeight="1"/>
    <row r="180" ht="16.5" hidden="1" customHeight="1"/>
    <row r="181" ht="16.5" hidden="1" customHeight="1"/>
    <row r="182" ht="16.5" hidden="1" customHeight="1"/>
    <row r="183" ht="16.5" hidden="1" customHeight="1"/>
    <row r="184" ht="16.5" hidden="1" customHeight="1"/>
    <row r="185" ht="16.5" hidden="1" customHeight="1"/>
    <row r="186" ht="16.5" hidden="1" customHeight="1"/>
    <row r="187" ht="16.5" hidden="1" customHeight="1"/>
    <row r="188" ht="16.5" hidden="1" customHeight="1"/>
    <row r="189" ht="16.5" hidden="1" customHeight="1"/>
    <row r="190" ht="16.5" hidden="1" customHeight="1"/>
    <row r="191" ht="16.5" hidden="1" customHeight="1"/>
    <row r="192" ht="16.5" hidden="1" customHeight="1"/>
    <row r="193" ht="16.5" hidden="1" customHeight="1"/>
    <row r="194" ht="16.5" hidden="1" customHeight="1"/>
    <row r="195" ht="16.5" hidden="1" customHeight="1"/>
    <row r="196" ht="16.5" hidden="1" customHeight="1"/>
    <row r="197" ht="16.5" hidden="1" customHeight="1"/>
    <row r="198" ht="16.5" hidden="1" customHeight="1"/>
    <row r="199" ht="16.5" hidden="1" customHeight="1"/>
    <row r="200" ht="16.5" hidden="1" customHeight="1"/>
    <row r="201" ht="16.5" hidden="1" customHeight="1"/>
    <row r="202" ht="16.5" hidden="1" customHeight="1"/>
    <row r="203" ht="16.5" hidden="1" customHeight="1"/>
    <row r="204" ht="16.5" hidden="1" customHeight="1"/>
    <row r="205" ht="16.5" hidden="1" customHeight="1"/>
    <row r="206" ht="16.5" hidden="1" customHeight="1"/>
    <row r="207" ht="16.5" hidden="1" customHeight="1"/>
    <row r="208" ht="16.5" hidden="1" customHeight="1"/>
    <row r="209" ht="16.5" hidden="1" customHeight="1"/>
    <row r="210" ht="16.5" hidden="1" customHeight="1"/>
    <row r="211" ht="16.5" hidden="1" customHeight="1"/>
    <row r="212" ht="16.5" hidden="1" customHeight="1"/>
    <row r="213" ht="16.5" hidden="1" customHeight="1"/>
    <row r="214" ht="16.5" hidden="1" customHeight="1"/>
    <row r="215" ht="16.5" hidden="1" customHeight="1"/>
    <row r="216" ht="16.5" hidden="1" customHeight="1"/>
    <row r="217" ht="16.5" hidden="1" customHeight="1"/>
    <row r="218" ht="16.5" hidden="1" customHeight="1"/>
    <row r="219" ht="16.5" hidden="1" customHeight="1"/>
    <row r="220" ht="16.5" hidden="1" customHeight="1"/>
    <row r="221" ht="16.5" hidden="1" customHeight="1"/>
    <row r="222" ht="16.5" hidden="1" customHeight="1"/>
    <row r="223" ht="16.5" hidden="1" customHeight="1"/>
    <row r="224" ht="16.5" hidden="1" customHeight="1"/>
    <row r="225" ht="16.5" hidden="1" customHeight="1"/>
    <row r="226" ht="16.5" hidden="1" customHeight="1"/>
    <row r="227" ht="16.5" hidden="1" customHeight="1"/>
    <row r="228" ht="16.5" hidden="1" customHeight="1"/>
    <row r="229" ht="16.5" hidden="1" customHeight="1"/>
    <row r="230" ht="16.5" hidden="1" customHeight="1"/>
    <row r="231" ht="16.5" hidden="1" customHeight="1"/>
    <row r="232" ht="16.5" hidden="1" customHeight="1"/>
    <row r="233" ht="16.5" hidden="1" customHeight="1"/>
    <row r="234" ht="16.5" hidden="1" customHeight="1"/>
    <row r="235" ht="16.5" hidden="1" customHeight="1"/>
    <row r="236" ht="16.5" hidden="1" customHeight="1"/>
    <row r="237" ht="16.5" hidden="1" customHeight="1"/>
    <row r="238" ht="16.5" hidden="1" customHeight="1"/>
    <row r="239" ht="16.5" hidden="1" customHeight="1"/>
    <row r="240" ht="16.5" hidden="1" customHeight="1"/>
    <row r="241" ht="16.5" hidden="1" customHeight="1"/>
    <row r="242" ht="16.5" hidden="1" customHeight="1"/>
    <row r="243" ht="16.5" hidden="1" customHeight="1"/>
    <row r="244" ht="16.5" hidden="1" customHeight="1"/>
    <row r="245" ht="16.5" hidden="1" customHeight="1"/>
    <row r="246" ht="16.5" hidden="1" customHeight="1"/>
    <row r="247" ht="16.5" hidden="1" customHeight="1"/>
    <row r="248" ht="16.5" hidden="1" customHeight="1"/>
    <row r="249" ht="16.5" hidden="1" customHeight="1"/>
    <row r="250" ht="16.5" hidden="1" customHeight="1"/>
    <row r="251" ht="16.5" hidden="1" customHeight="1"/>
    <row r="252" ht="16.5" hidden="1" customHeight="1"/>
    <row r="253" ht="16.5" hidden="1" customHeight="1"/>
    <row r="254" ht="16.5" hidden="1" customHeight="1"/>
    <row r="255" ht="16.5" hidden="1" customHeight="1"/>
    <row r="256" ht="16.5" hidden="1" customHeight="1"/>
    <row r="257" ht="16.5" hidden="1" customHeight="1"/>
    <row r="258" ht="16.5" hidden="1" customHeight="1"/>
    <row r="259" ht="16.5" hidden="1" customHeight="1"/>
    <row r="260" ht="16.5" hidden="1" customHeight="1"/>
    <row r="261" ht="16.5" hidden="1" customHeight="1"/>
    <row r="262" ht="16.5" hidden="1" customHeight="1"/>
    <row r="263" ht="16.5" hidden="1" customHeight="1"/>
    <row r="264" ht="16.5" hidden="1" customHeight="1"/>
    <row r="265" ht="16.5" hidden="1" customHeight="1"/>
    <row r="266" ht="16.5" hidden="1" customHeight="1"/>
    <row r="267" ht="16.5" hidden="1" customHeight="1"/>
    <row r="268" ht="16.5" hidden="1" customHeight="1"/>
    <row r="269" ht="16.5" hidden="1" customHeight="1"/>
    <row r="270" ht="16.5" hidden="1" customHeight="1"/>
    <row r="271" ht="16.5" hidden="1" customHeight="1"/>
    <row r="272" ht="16.5" hidden="1" customHeight="1"/>
    <row r="273" ht="16.5" hidden="1" customHeight="1"/>
    <row r="274" ht="16.5" hidden="1" customHeight="1"/>
    <row r="275" ht="16.5" hidden="1" customHeight="1"/>
    <row r="276" ht="16.5" hidden="1" customHeight="1"/>
    <row r="277" ht="16.5" hidden="1" customHeight="1"/>
    <row r="278" ht="16.5" hidden="1" customHeight="1"/>
    <row r="279" ht="16.5" hidden="1" customHeight="1"/>
    <row r="280" ht="16.5" hidden="1" customHeight="1"/>
    <row r="281" ht="16.5" hidden="1" customHeight="1"/>
  </sheetData>
  <sheetProtection algorithmName="SHA-512" hashValue="nRvW23ThtEg2M2Q3BqJElcEb+diTFydRJucbB6EAKboOKUb1h1nrQxOlQjZ0u4wAuSF9xT+gPPsRIu867Omgow==" saltValue="MFiC1RNXD8eBO8Xj8SlTew==" spinCount="100000" sheet="1" objects="1" scenarios="1" selectLockedCells="1"/>
  <mergeCells count="126">
    <mergeCell ref="A19:B19"/>
    <mergeCell ref="E50:G50"/>
    <mergeCell ref="L48:N48"/>
    <mergeCell ref="AQ24:BC24"/>
    <mergeCell ref="I61:I62"/>
    <mergeCell ref="J61:J62"/>
    <mergeCell ref="Q55:R55"/>
    <mergeCell ref="Q56:R56"/>
    <mergeCell ref="L10:M11"/>
    <mergeCell ref="O18:P18"/>
    <mergeCell ref="O19:P19"/>
    <mergeCell ref="H19:N19"/>
    <mergeCell ref="H13:N13"/>
    <mergeCell ref="H16:N16"/>
    <mergeCell ref="AR18:AS18"/>
    <mergeCell ref="AP18:AQ18"/>
    <mergeCell ref="AQ34:BC34"/>
    <mergeCell ref="AP19:AQ19"/>
    <mergeCell ref="AR19:AX19"/>
    <mergeCell ref="AQ25:BC25"/>
    <mergeCell ref="AQ26:BC26"/>
    <mergeCell ref="AP20:AQ20"/>
    <mergeCell ref="O16:P16"/>
    <mergeCell ref="AR20:AY20"/>
    <mergeCell ref="K33:L33"/>
    <mergeCell ref="A26:B26"/>
    <mergeCell ref="C26:D26"/>
    <mergeCell ref="I24:J24"/>
    <mergeCell ref="T34:V34"/>
    <mergeCell ref="A25:B25"/>
    <mergeCell ref="A24:B24"/>
    <mergeCell ref="A31:D32"/>
    <mergeCell ref="H20:L20"/>
    <mergeCell ref="M20:P20"/>
    <mergeCell ref="H18:N18"/>
    <mergeCell ref="A8:B8"/>
    <mergeCell ref="J8:K8"/>
    <mergeCell ref="J9:O9"/>
    <mergeCell ref="H15:N15"/>
    <mergeCell ref="H14:N14"/>
    <mergeCell ref="K7:N7"/>
    <mergeCell ref="Y15:Z15"/>
    <mergeCell ref="O15:P15"/>
    <mergeCell ref="L8:M8"/>
    <mergeCell ref="Z7:AA7"/>
    <mergeCell ref="A13:B13"/>
    <mergeCell ref="A5:B5"/>
    <mergeCell ref="A9:D9"/>
    <mergeCell ref="A15:B15"/>
    <mergeCell ref="A17:B17"/>
    <mergeCell ref="Y17:Z17"/>
    <mergeCell ref="AI13:AK13"/>
    <mergeCell ref="AI16:AK16"/>
    <mergeCell ref="H17:N17"/>
    <mergeCell ref="O14:P14"/>
    <mergeCell ref="BD52:BF52"/>
    <mergeCell ref="BB50:BD50"/>
    <mergeCell ref="AY46:AZ46"/>
    <mergeCell ref="AP17:AQ17"/>
    <mergeCell ref="AR17:AS17"/>
    <mergeCell ref="AI19:AK19"/>
    <mergeCell ref="AI18:AK18"/>
    <mergeCell ref="AS6:BD6"/>
    <mergeCell ref="Y14:Z14"/>
    <mergeCell ref="Z8:AA8"/>
    <mergeCell ref="AD13:AH13"/>
    <mergeCell ref="AJ15:AK15"/>
    <mergeCell ref="Y10:AA10"/>
    <mergeCell ref="AJ9:AK9"/>
    <mergeCell ref="Z9:AA9"/>
    <mergeCell ref="AB33:AC33"/>
    <mergeCell ref="AJ27:AK27"/>
    <mergeCell ref="AD20:AI20"/>
    <mergeCell ref="AJ20:AL20"/>
    <mergeCell ref="AQ21:AZ22"/>
    <mergeCell ref="AS10:BD10"/>
    <mergeCell ref="AV12:BD12"/>
    <mergeCell ref="AY14:BB14"/>
    <mergeCell ref="I21:Y23"/>
    <mergeCell ref="AS8:BD8"/>
    <mergeCell ref="Y13:Z13"/>
    <mergeCell ref="O13:P13"/>
    <mergeCell ref="AJ6:AK6"/>
    <mergeCell ref="Z6:AA6"/>
    <mergeCell ref="AH31:AI31"/>
    <mergeCell ref="Q7:R8"/>
    <mergeCell ref="O17:P17"/>
    <mergeCell ref="P50:Q50"/>
    <mergeCell ref="S33:T33"/>
    <mergeCell ref="W34:AA34"/>
    <mergeCell ref="X20:Z20"/>
    <mergeCell ref="P51:Q51"/>
    <mergeCell ref="P52:Q52"/>
    <mergeCell ref="P53:Q53"/>
    <mergeCell ref="S53:T53"/>
    <mergeCell ref="AT48:AV48"/>
    <mergeCell ref="P54:Q54"/>
    <mergeCell ref="S54:T54"/>
    <mergeCell ref="S51:T51"/>
    <mergeCell ref="O48:R48"/>
    <mergeCell ref="AJ48:AS48"/>
    <mergeCell ref="S49:T49"/>
    <mergeCell ref="Z62:AB62"/>
    <mergeCell ref="AQ35:BC35"/>
    <mergeCell ref="AG40:AI40"/>
    <mergeCell ref="AJ28:AL29"/>
    <mergeCell ref="AQ28:BC28"/>
    <mergeCell ref="AQ29:BC29"/>
    <mergeCell ref="AG28:AI29"/>
    <mergeCell ref="AH26:AI26"/>
    <mergeCell ref="AA43:AB44"/>
    <mergeCell ref="AQ27:BC27"/>
    <mergeCell ref="AQ30:BC30"/>
    <mergeCell ref="AQ31:BC31"/>
    <mergeCell ref="AQ32:BC32"/>
    <mergeCell ref="AG51:AH51"/>
    <mergeCell ref="AA58:AB59"/>
    <mergeCell ref="AC58:AJ59"/>
    <mergeCell ref="AV56:AX56"/>
    <mergeCell ref="AC43:AH44"/>
    <mergeCell ref="H37:AF38"/>
    <mergeCell ref="R46:S46"/>
    <mergeCell ref="AQ33:BC33"/>
    <mergeCell ref="S50:T50"/>
    <mergeCell ref="S52:T52"/>
    <mergeCell ref="P49:R49"/>
  </mergeCells>
  <hyperlinks>
    <hyperlink ref="A31:D32" location="Index!A1" display="RETURN TO INDEX" xr:uid="{00000000-0004-0000-0200-000000000000}"/>
  </hyperlinks>
  <printOptions horizontalCentered="1"/>
  <pageMargins left="0.25" right="0.25" top="0.75" bottom="1" header="0.3" footer="0.3"/>
  <pageSetup scale="59" orientation="portrait" r:id="rId1"/>
  <headerFoot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defaultSize="0" autoLine="0" autoPict="0">
                <anchor moveWithCells="1">
                  <from>
                    <xdr:col>1</xdr:col>
                    <xdr:colOff>581025</xdr:colOff>
                    <xdr:row>3</xdr:row>
                    <xdr:rowOff>200025</xdr:rowOff>
                  </from>
                  <to>
                    <xdr:col>3</xdr:col>
                    <xdr:colOff>200025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Drop Down 2">
              <controlPr defaultSize="0" autoLine="0" autoPict="0">
                <anchor moveWithCells="1">
                  <from>
                    <xdr:col>1</xdr:col>
                    <xdr:colOff>581025</xdr:colOff>
                    <xdr:row>6</xdr:row>
                    <xdr:rowOff>200025</xdr:rowOff>
                  </from>
                  <to>
                    <xdr:col>3</xdr:col>
                    <xdr:colOff>200025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1</xdr:col>
                    <xdr:colOff>581025</xdr:colOff>
                    <xdr:row>19</xdr:row>
                    <xdr:rowOff>200025</xdr:rowOff>
                  </from>
                  <to>
                    <xdr:col>3</xdr:col>
                    <xdr:colOff>200025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1</xdr:col>
                    <xdr:colOff>581025</xdr:colOff>
                    <xdr:row>11</xdr:row>
                    <xdr:rowOff>200025</xdr:rowOff>
                  </from>
                  <to>
                    <xdr:col>3</xdr:col>
                    <xdr:colOff>200025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Drop Down 8">
              <controlPr defaultSize="0" autoLine="0" autoPict="0">
                <anchor moveWithCells="1">
                  <from>
                    <xdr:col>1</xdr:col>
                    <xdr:colOff>581025</xdr:colOff>
                    <xdr:row>17</xdr:row>
                    <xdr:rowOff>200025</xdr:rowOff>
                  </from>
                  <to>
                    <xdr:col>3</xdr:col>
                    <xdr:colOff>200025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Drop Down 3">
              <controlPr defaultSize="0" autoLine="0" autoPict="0">
                <anchor moveWithCells="1">
                  <from>
                    <xdr:col>1</xdr:col>
                    <xdr:colOff>581025</xdr:colOff>
                    <xdr:row>13</xdr:row>
                    <xdr:rowOff>200025</xdr:rowOff>
                  </from>
                  <to>
                    <xdr:col>3</xdr:col>
                    <xdr:colOff>200025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Drop Down 4">
              <controlPr defaultSize="0" autoLine="0" autoPict="0">
                <anchor moveWithCells="1">
                  <from>
                    <xdr:col>1</xdr:col>
                    <xdr:colOff>581025</xdr:colOff>
                    <xdr:row>15</xdr:row>
                    <xdr:rowOff>200025</xdr:rowOff>
                  </from>
                  <to>
                    <xdr:col>3</xdr:col>
                    <xdr:colOff>200025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H281"/>
  <sheetViews>
    <sheetView workbookViewId="0">
      <selection activeCell="C2" sqref="C2"/>
    </sheetView>
  </sheetViews>
  <sheetFormatPr defaultColWidth="0" defaultRowHeight="15" customHeight="1" zeroHeight="1"/>
  <cols>
    <col min="1" max="1" width="14.42578125" customWidth="1"/>
    <col min="2" max="3" width="10.7109375" customWidth="1"/>
    <col min="4" max="4" width="7.7109375" customWidth="1"/>
    <col min="5" max="81" width="3.140625" customWidth="1"/>
    <col min="82" max="86" width="9.140625" customWidth="1"/>
    <col min="87" max="16384" width="9.140625" hidden="1"/>
  </cols>
  <sheetData>
    <row r="1" spans="1:86" s="92" customFormat="1" ht="18.75">
      <c r="A1" s="295" t="s">
        <v>191</v>
      </c>
      <c r="E1" s="94"/>
      <c r="F1" s="94"/>
      <c r="G1" s="94"/>
      <c r="H1" s="59" t="s">
        <v>0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</row>
    <row r="2" spans="1:86" ht="16.5" customHeight="1">
      <c r="A2" s="291" t="s">
        <v>209</v>
      </c>
      <c r="B2" s="210"/>
      <c r="C2" s="286">
        <v>44836</v>
      </c>
      <c r="D2" s="210"/>
      <c r="E2" s="162"/>
      <c r="F2" s="102"/>
      <c r="G2" s="11"/>
      <c r="H2" s="60" t="s">
        <v>1</v>
      </c>
      <c r="I2" s="11"/>
      <c r="J2" s="11"/>
      <c r="K2" s="11"/>
      <c r="L2" s="89"/>
      <c r="M2" s="3"/>
      <c r="N2" s="4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94"/>
      <c r="BG2" s="94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</row>
    <row r="3" spans="1:86" ht="16.5" customHeight="1">
      <c r="A3" s="210"/>
      <c r="B3" s="92"/>
      <c r="C3" s="210"/>
      <c r="D3" s="210"/>
      <c r="E3" s="162"/>
      <c r="F3" s="102"/>
      <c r="G3" s="6"/>
      <c r="I3" s="24"/>
      <c r="J3" s="54"/>
      <c r="K3" s="54"/>
      <c r="L3" s="25"/>
      <c r="M3" s="4"/>
      <c r="N3" s="4"/>
      <c r="O3" s="4"/>
      <c r="P3" s="2"/>
      <c r="Q3" s="2"/>
      <c r="R3" s="2"/>
      <c r="S3" s="4"/>
      <c r="T3" s="4"/>
      <c r="U3" s="4"/>
      <c r="V3" s="4"/>
      <c r="W3" s="4"/>
      <c r="X3" s="29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94"/>
      <c r="BG3" s="94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</row>
    <row r="4" spans="1:86" ht="16.5" customHeight="1">
      <c r="A4" s="297" t="s">
        <v>190</v>
      </c>
      <c r="B4" s="92"/>
      <c r="C4" s="92"/>
      <c r="D4" s="210"/>
      <c r="E4" s="162"/>
      <c r="F4" s="103"/>
      <c r="G4" s="28"/>
      <c r="H4" s="28"/>
      <c r="I4" s="54"/>
      <c r="J4" s="54"/>
      <c r="K4" s="54"/>
      <c r="L4" s="28"/>
      <c r="M4" s="4"/>
      <c r="N4" s="47" t="s">
        <v>2</v>
      </c>
      <c r="O4" s="4"/>
      <c r="P4" s="28"/>
      <c r="Q4" s="28"/>
      <c r="R4" s="28"/>
      <c r="S4" s="4"/>
      <c r="T4" s="4"/>
      <c r="U4" s="4"/>
      <c r="V4" s="4"/>
      <c r="W4" s="4"/>
      <c r="X4" s="29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94"/>
      <c r="BG4" s="94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</row>
    <row r="5" spans="1:86" ht="16.5" customHeight="1">
      <c r="A5" s="668" t="s">
        <v>22</v>
      </c>
      <c r="B5" s="668"/>
      <c r="C5" s="38">
        <v>4</v>
      </c>
      <c r="D5" s="210"/>
      <c r="E5" s="162"/>
      <c r="F5" s="104"/>
      <c r="G5" s="28"/>
      <c r="H5" s="28"/>
      <c r="I5" s="55"/>
      <c r="J5" s="55"/>
      <c r="K5" s="56"/>
      <c r="L5" s="28"/>
      <c r="M5" s="28"/>
      <c r="N5" s="94"/>
      <c r="O5" s="28"/>
      <c r="P5" s="28"/>
      <c r="Q5" s="28"/>
      <c r="R5" s="28"/>
      <c r="S5" s="11" t="s">
        <v>26</v>
      </c>
      <c r="T5" s="94"/>
      <c r="U5" s="94"/>
      <c r="V5" s="96"/>
      <c r="W5" s="110"/>
      <c r="X5" s="110"/>
      <c r="Y5" s="96"/>
      <c r="Z5" s="31"/>
      <c r="AA5" s="31"/>
      <c r="AB5" s="31"/>
      <c r="AC5" s="96"/>
      <c r="AD5" s="33" t="s">
        <v>70</v>
      </c>
      <c r="AE5" s="116"/>
      <c r="AF5" s="31"/>
      <c r="AG5" s="31"/>
      <c r="AH5" s="31"/>
      <c r="AI5" s="31"/>
      <c r="AJ5" s="31"/>
      <c r="AK5" s="31"/>
      <c r="AL5" s="31"/>
      <c r="AM5" s="94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94"/>
      <c r="BG5" s="94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</row>
    <row r="6" spans="1:86" ht="16.5" customHeight="1">
      <c r="A6" s="92"/>
      <c r="B6" s="210"/>
      <c r="C6" s="210"/>
      <c r="D6" s="210"/>
      <c r="E6" s="162"/>
      <c r="F6" s="96"/>
      <c r="G6" s="28"/>
      <c r="H6" s="28"/>
      <c r="I6" s="189"/>
      <c r="J6" s="189"/>
      <c r="K6" s="189"/>
      <c r="L6" s="25"/>
      <c r="M6" s="178"/>
      <c r="N6" s="178"/>
      <c r="O6" s="178"/>
      <c r="P6" s="178"/>
      <c r="Q6" s="178"/>
      <c r="R6" s="186"/>
      <c r="S6" s="187" t="s">
        <v>29</v>
      </c>
      <c r="T6" s="187"/>
      <c r="U6" s="187"/>
      <c r="V6" s="187"/>
      <c r="W6" s="187"/>
      <c r="X6" s="187"/>
      <c r="Y6" s="187"/>
      <c r="Z6" s="737">
        <f>Y13*O13</f>
        <v>256</v>
      </c>
      <c r="AA6" s="737"/>
      <c r="AB6" s="94"/>
      <c r="AC6" s="94"/>
      <c r="AD6" s="194" t="s">
        <v>159</v>
      </c>
      <c r="AE6" s="194"/>
      <c r="AF6" s="194"/>
      <c r="AG6" s="194"/>
      <c r="AH6" s="194"/>
      <c r="AI6" s="94"/>
      <c r="AJ6" s="736">
        <f>P53+S48*S53</f>
        <v>88.516827384153032</v>
      </c>
      <c r="AK6" s="736"/>
      <c r="AL6" s="29" t="s">
        <v>30</v>
      </c>
      <c r="AM6" s="94"/>
      <c r="AN6" s="3"/>
      <c r="AO6" s="3"/>
      <c r="AP6" s="36" t="s">
        <v>4</v>
      </c>
      <c r="AQ6" s="35"/>
      <c r="AR6" s="35"/>
      <c r="AS6" s="716"/>
      <c r="AT6" s="716"/>
      <c r="AU6" s="716"/>
      <c r="AV6" s="716"/>
      <c r="AW6" s="716"/>
      <c r="AX6" s="716"/>
      <c r="AY6" s="716"/>
      <c r="AZ6" s="716"/>
      <c r="BA6" s="716"/>
      <c r="BB6" s="716"/>
      <c r="BC6" s="716"/>
      <c r="BD6" s="716"/>
      <c r="BE6" s="28"/>
      <c r="BF6" s="94"/>
      <c r="BG6" s="94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</row>
    <row r="7" spans="1:86" ht="16.5" customHeight="1">
      <c r="A7" s="298" t="s">
        <v>192</v>
      </c>
      <c r="B7" s="225"/>
      <c r="C7" s="225"/>
      <c r="D7" s="225"/>
      <c r="E7" s="162"/>
      <c r="F7" s="96"/>
      <c r="G7" s="91"/>
      <c r="H7" s="22"/>
      <c r="I7" s="22"/>
      <c r="J7" s="22"/>
      <c r="K7" s="761" t="str">
        <f>VLOOKUP($C$5,Data!$B$4:$L$7,2)</f>
        <v>SK290</v>
      </c>
      <c r="L7" s="761"/>
      <c r="M7" s="761"/>
      <c r="N7" s="761"/>
      <c r="O7" s="178"/>
      <c r="P7" s="178"/>
      <c r="Q7" s="738">
        <f>VLOOKUP($C$5,Data!$B$4:$L$7,7)</f>
        <v>59.5</v>
      </c>
      <c r="R7" s="738"/>
      <c r="S7" s="185" t="s">
        <v>32</v>
      </c>
      <c r="T7" s="185"/>
      <c r="U7" s="185"/>
      <c r="V7" s="185"/>
      <c r="W7" s="185"/>
      <c r="X7" s="185"/>
      <c r="Y7" s="185"/>
      <c r="Z7" s="749">
        <f>VLOOKUP($C$5,Data!$B$4:$L$7,3)</f>
        <v>109.7</v>
      </c>
      <c r="AA7" s="749"/>
      <c r="AB7" s="29" t="s">
        <v>30</v>
      </c>
      <c r="AC7" s="94"/>
      <c r="AD7" s="179" t="s">
        <v>160</v>
      </c>
      <c r="AE7" s="167"/>
      <c r="AF7" s="167"/>
      <c r="AG7" s="167"/>
      <c r="AH7" s="167"/>
      <c r="AI7" s="167"/>
      <c r="AJ7" s="167"/>
      <c r="AK7" s="167"/>
      <c r="AL7" s="167"/>
      <c r="AM7" s="94"/>
      <c r="AN7" s="3"/>
      <c r="AO7" s="3"/>
      <c r="AP7" s="35"/>
      <c r="AQ7" s="35"/>
      <c r="AR7" s="35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94"/>
      <c r="BG7" s="94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</row>
    <row r="8" spans="1:86" ht="16.5" customHeight="1">
      <c r="A8" s="668" t="s">
        <v>5</v>
      </c>
      <c r="B8" s="669"/>
      <c r="C8" s="38">
        <v>2</v>
      </c>
      <c r="D8" s="225"/>
      <c r="E8" s="162"/>
      <c r="F8" s="96"/>
      <c r="G8" s="11"/>
      <c r="H8" s="11"/>
      <c r="I8" s="11"/>
      <c r="J8" s="721" t="s">
        <v>15</v>
      </c>
      <c r="K8" s="717"/>
      <c r="L8" s="762">
        <f>VLOOKUP($C$5,Data!$B$4:$L$7,3)/(VLOOKUP($C$5,Data!$B$4:$L$7,4)/12)</f>
        <v>27.254658385093173</v>
      </c>
      <c r="M8" s="762"/>
      <c r="N8" s="190" t="s">
        <v>16</v>
      </c>
      <c r="O8" s="93"/>
      <c r="P8" s="93"/>
      <c r="Q8" s="738"/>
      <c r="R8" s="738"/>
      <c r="S8" s="185" t="s">
        <v>33</v>
      </c>
      <c r="T8" s="185"/>
      <c r="U8" s="185"/>
      <c r="V8" s="185"/>
      <c r="W8" s="185"/>
      <c r="X8" s="185"/>
      <c r="Y8" s="185"/>
      <c r="Z8" s="737">
        <f>2*Y13</f>
        <v>4</v>
      </c>
      <c r="AA8" s="737"/>
      <c r="AB8" s="94"/>
      <c r="AC8" s="94"/>
      <c r="AD8" s="188" t="s">
        <v>173</v>
      </c>
      <c r="AE8" s="180"/>
      <c r="AF8" s="180"/>
      <c r="AG8" s="180"/>
      <c r="AH8" s="180"/>
      <c r="AI8" s="180"/>
      <c r="AJ8" s="180"/>
      <c r="AK8" s="180"/>
      <c r="AL8" s="180"/>
      <c r="AM8" s="94"/>
      <c r="AN8" s="3"/>
      <c r="AO8" s="3"/>
      <c r="AP8" s="37" t="s">
        <v>10</v>
      </c>
      <c r="AQ8" s="3"/>
      <c r="AR8" s="3"/>
      <c r="AS8" s="716"/>
      <c r="AT8" s="716"/>
      <c r="AU8" s="716"/>
      <c r="AV8" s="716"/>
      <c r="AW8" s="716"/>
      <c r="AX8" s="716"/>
      <c r="AY8" s="716"/>
      <c r="AZ8" s="716"/>
      <c r="BA8" s="716"/>
      <c r="BB8" s="716"/>
      <c r="BC8" s="716"/>
      <c r="BD8" s="716"/>
      <c r="BE8" s="3"/>
      <c r="BF8" s="94"/>
      <c r="BG8" s="94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</row>
    <row r="9" spans="1:86" ht="16.5" customHeight="1">
      <c r="A9" s="670" t="s">
        <v>211</v>
      </c>
      <c r="B9" s="670"/>
      <c r="C9" s="670"/>
      <c r="D9" s="670"/>
      <c r="E9" s="91"/>
      <c r="F9" s="3"/>
      <c r="G9" s="11"/>
      <c r="H9" s="11"/>
      <c r="I9" s="11"/>
      <c r="J9" s="760" t="s">
        <v>19</v>
      </c>
      <c r="K9" s="760"/>
      <c r="L9" s="760"/>
      <c r="M9" s="760"/>
      <c r="N9" s="760"/>
      <c r="O9" s="760"/>
      <c r="P9" s="93"/>
      <c r="Q9" s="94"/>
      <c r="R9" s="94"/>
      <c r="S9" s="185" t="s">
        <v>36</v>
      </c>
      <c r="T9" s="185"/>
      <c r="U9" s="185"/>
      <c r="V9" s="185"/>
      <c r="W9" s="185"/>
      <c r="X9" s="185"/>
      <c r="Y9" s="185"/>
      <c r="Z9" s="749">
        <f>VLOOKUP($C$5,Data!$B$4:$M$7,12)</f>
        <v>39.6</v>
      </c>
      <c r="AA9" s="749"/>
      <c r="AB9" s="29" t="s">
        <v>30</v>
      </c>
      <c r="AC9" s="94"/>
      <c r="AD9" s="194" t="s">
        <v>172</v>
      </c>
      <c r="AE9" s="194"/>
      <c r="AF9" s="194"/>
      <c r="AG9" s="194"/>
      <c r="AH9" s="194"/>
      <c r="AI9" s="194"/>
      <c r="AJ9" s="748">
        <f>P54+S48*S54</f>
        <v>119.72511669815651</v>
      </c>
      <c r="AK9" s="748"/>
      <c r="AL9" s="29" t="s">
        <v>30</v>
      </c>
      <c r="AM9" s="94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94"/>
      <c r="BG9" s="94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</row>
    <row r="10" spans="1:86" ht="16.5" customHeight="1">
      <c r="A10" s="92"/>
      <c r="B10" s="114"/>
      <c r="C10" s="114"/>
      <c r="D10" s="97"/>
      <c r="E10" s="163"/>
      <c r="F10" s="96"/>
      <c r="G10" s="3"/>
      <c r="H10" s="3"/>
      <c r="I10" s="3"/>
      <c r="J10" s="94"/>
      <c r="K10" s="94"/>
      <c r="L10" s="770">
        <f>VLOOKUP($C$5,Data!$B$4:$L$7,6)</f>
        <v>100.5</v>
      </c>
      <c r="M10" s="770"/>
      <c r="N10" s="94"/>
      <c r="O10" s="93"/>
      <c r="P10" s="93"/>
      <c r="Q10" s="93"/>
      <c r="R10" s="96"/>
      <c r="S10" s="177" t="s">
        <v>180</v>
      </c>
      <c r="T10" s="185"/>
      <c r="U10" s="185"/>
      <c r="V10" s="185"/>
      <c r="W10" s="185"/>
      <c r="X10" s="185"/>
      <c r="Y10" s="739">
        <f>Z6*Z7+Z8*Z9</f>
        <v>28241.600000000002</v>
      </c>
      <c r="Z10" s="739"/>
      <c r="AA10" s="739"/>
      <c r="AB10" s="29" t="s">
        <v>30</v>
      </c>
      <c r="AC10" s="94"/>
      <c r="AD10" s="179" t="s">
        <v>164</v>
      </c>
      <c r="AE10" s="167"/>
      <c r="AF10" s="3"/>
      <c r="AG10" s="3"/>
      <c r="AH10" s="3"/>
      <c r="AI10" s="3"/>
      <c r="AJ10" s="3"/>
      <c r="AK10" s="3"/>
      <c r="AL10" s="157"/>
      <c r="AM10" s="94"/>
      <c r="AN10" s="11"/>
      <c r="AO10" s="23"/>
      <c r="AP10" s="37" t="s">
        <v>18</v>
      </c>
      <c r="AQ10" s="3"/>
      <c r="AR10" s="3"/>
      <c r="AS10" s="716"/>
      <c r="AT10" s="716"/>
      <c r="AU10" s="716"/>
      <c r="AV10" s="716"/>
      <c r="AW10" s="716"/>
      <c r="AX10" s="716"/>
      <c r="AY10" s="716"/>
      <c r="AZ10" s="716"/>
      <c r="BA10" s="716"/>
      <c r="BB10" s="716"/>
      <c r="BC10" s="716"/>
      <c r="BD10" s="716"/>
      <c r="BE10" s="3"/>
      <c r="BF10" s="94"/>
      <c r="BG10" s="94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</row>
    <row r="11" spans="1:86" ht="16.5" customHeight="1">
      <c r="A11" s="300" t="s">
        <v>189</v>
      </c>
      <c r="B11" s="113"/>
      <c r="C11" s="1"/>
      <c r="D11" s="113"/>
      <c r="E11" s="164"/>
      <c r="F11" s="96"/>
      <c r="G11" s="3"/>
      <c r="H11" s="3"/>
      <c r="I11" s="3"/>
      <c r="J11" s="94"/>
      <c r="K11" s="94"/>
      <c r="L11" s="770"/>
      <c r="M11" s="770"/>
      <c r="N11" s="94"/>
      <c r="O11" s="94"/>
      <c r="P11" s="93"/>
      <c r="Q11" s="93"/>
      <c r="R11" s="96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1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94"/>
      <c r="BG11" s="94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</row>
    <row r="12" spans="1:86" ht="16.5" customHeight="1">
      <c r="A12" s="303" t="str">
        <f>IF(C5=1,"Only SK31 options apply.","SK31 options DO NOT apply.")</f>
        <v>SK31 options DO NOT apply.</v>
      </c>
      <c r="B12" s="287"/>
      <c r="C12" s="303" t="str">
        <f>IF(C5=1,"Mainline x Stub","")</f>
        <v/>
      </c>
      <c r="D12" s="92"/>
      <c r="E12" s="165"/>
      <c r="F12" s="96"/>
      <c r="G12" s="94"/>
      <c r="H12" s="30" t="s">
        <v>3</v>
      </c>
      <c r="I12" s="31"/>
      <c r="J12" s="31"/>
      <c r="K12" s="31"/>
      <c r="L12" s="31"/>
      <c r="M12" s="31"/>
      <c r="N12" s="31"/>
      <c r="O12" s="31"/>
      <c r="P12" s="31"/>
      <c r="Q12" s="192"/>
      <c r="R12" s="96"/>
      <c r="S12" s="30" t="s">
        <v>198</v>
      </c>
      <c r="T12" s="31"/>
      <c r="U12" s="31"/>
      <c r="V12" s="31"/>
      <c r="W12" s="31"/>
      <c r="X12" s="31"/>
      <c r="Y12" s="31"/>
      <c r="Z12" s="31"/>
      <c r="AA12" s="116"/>
      <c r="AB12" s="27"/>
      <c r="AC12" s="94"/>
      <c r="AD12" s="201" t="s">
        <v>176</v>
      </c>
      <c r="AE12" s="116"/>
      <c r="AF12" s="116"/>
      <c r="AG12" s="116"/>
      <c r="AH12" s="116"/>
      <c r="AI12" s="116"/>
      <c r="AJ12" s="116"/>
      <c r="AK12" s="116"/>
      <c r="AL12" s="116"/>
      <c r="AM12" s="94"/>
      <c r="AN12" s="3"/>
      <c r="AO12" s="3"/>
      <c r="AP12" s="37" t="s">
        <v>25</v>
      </c>
      <c r="AQ12" s="3"/>
      <c r="AR12" s="3"/>
      <c r="AS12" s="3"/>
      <c r="AT12" s="3"/>
      <c r="AU12" s="3"/>
      <c r="AV12" s="716"/>
      <c r="AW12" s="716"/>
      <c r="AX12" s="716"/>
      <c r="AY12" s="716"/>
      <c r="AZ12" s="716"/>
      <c r="BA12" s="716"/>
      <c r="BB12" s="716"/>
      <c r="BC12" s="716"/>
      <c r="BD12" s="716"/>
      <c r="BE12" s="3"/>
      <c r="BF12" s="94"/>
      <c r="BG12" s="94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</row>
    <row r="13" spans="1:86" ht="16.5" customHeight="1" thickBot="1">
      <c r="A13" s="756" t="s">
        <v>685</v>
      </c>
      <c r="B13" s="756"/>
      <c r="C13" s="241">
        <v>6</v>
      </c>
      <c r="D13" s="217"/>
      <c r="E13" s="96"/>
      <c r="F13" s="96"/>
      <c r="G13" s="94"/>
      <c r="H13" s="773" t="s">
        <v>6</v>
      </c>
      <c r="I13" s="773"/>
      <c r="J13" s="773"/>
      <c r="K13" s="773"/>
      <c r="L13" s="773"/>
      <c r="M13" s="773"/>
      <c r="N13" s="773"/>
      <c r="O13" s="717">
        <f>C25</f>
        <v>128</v>
      </c>
      <c r="P13" s="717"/>
      <c r="Q13" s="93"/>
      <c r="R13" s="96"/>
      <c r="S13" s="193" t="s">
        <v>5</v>
      </c>
      <c r="T13" s="193"/>
      <c r="U13" s="193"/>
      <c r="V13" s="193"/>
      <c r="W13" s="193"/>
      <c r="X13" s="94"/>
      <c r="Y13" s="717">
        <f>C8</f>
        <v>2</v>
      </c>
      <c r="Z13" s="717"/>
      <c r="AA13" s="94"/>
      <c r="AB13" s="3"/>
      <c r="AC13" s="94"/>
      <c r="AD13" s="746" t="s">
        <v>196</v>
      </c>
      <c r="AE13" s="746"/>
      <c r="AF13" s="746"/>
      <c r="AG13" s="746"/>
      <c r="AH13" s="746"/>
      <c r="AI13" s="757">
        <f>X19-2*AJ9-Y10</f>
        <v>41486.468125978688</v>
      </c>
      <c r="AJ13" s="757"/>
      <c r="AK13" s="757"/>
      <c r="AL13" s="29" t="s">
        <v>30</v>
      </c>
      <c r="AM13" s="9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94"/>
      <c r="BG13" s="94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</row>
    <row r="14" spans="1:86" ht="16.5" customHeight="1" thickBot="1">
      <c r="A14" s="303" t="str">
        <f>IF(C5=2,"Only SK75 options apply.","SK75 options DO NOT apply.")</f>
        <v>SK75 options DO NOT apply.</v>
      </c>
      <c r="B14" s="287"/>
      <c r="C14" s="303" t="str">
        <f>IF(C5=2,"Mainline x Stub","")</f>
        <v/>
      </c>
      <c r="D14" s="92"/>
      <c r="E14" s="165"/>
      <c r="F14" s="96"/>
      <c r="G14" s="94"/>
      <c r="H14" s="758" t="s">
        <v>9</v>
      </c>
      <c r="I14" s="758"/>
      <c r="J14" s="758"/>
      <c r="K14" s="758"/>
      <c r="L14" s="758"/>
      <c r="M14" s="758"/>
      <c r="N14" s="758"/>
      <c r="O14" s="718">
        <f>VLOOKUP($C$5,Data!$B$4:$L$7,4)</f>
        <v>48.3</v>
      </c>
      <c r="P14" s="718"/>
      <c r="Q14" s="193" t="s">
        <v>8</v>
      </c>
      <c r="R14" s="94"/>
      <c r="S14" s="193" t="s">
        <v>7</v>
      </c>
      <c r="T14" s="193"/>
      <c r="U14" s="193"/>
      <c r="V14" s="193"/>
      <c r="W14" s="193"/>
      <c r="X14" s="94"/>
      <c r="Y14" s="718">
        <f>VLOOKUP($C$5,Data!$B$4:$L$7,8)</f>
        <v>9</v>
      </c>
      <c r="Z14" s="717"/>
      <c r="AA14" s="29" t="s">
        <v>8</v>
      </c>
      <c r="AB14" s="94"/>
      <c r="AC14" s="94"/>
      <c r="AD14" s="201" t="s">
        <v>178</v>
      </c>
      <c r="AE14" s="200"/>
      <c r="AF14" s="200"/>
      <c r="AG14" s="200"/>
      <c r="AH14" s="200"/>
      <c r="AI14" s="200"/>
      <c r="AJ14" s="200"/>
      <c r="AK14" s="200"/>
      <c r="AL14" s="200"/>
      <c r="AM14" s="204"/>
      <c r="AN14" s="3"/>
      <c r="AO14" s="3"/>
      <c r="AP14" s="37" t="s">
        <v>28</v>
      </c>
      <c r="AQ14" s="3"/>
      <c r="AR14" s="3"/>
      <c r="AS14" s="3"/>
      <c r="AT14" s="3"/>
      <c r="AU14" s="3"/>
      <c r="AV14" s="3"/>
      <c r="AW14" s="3"/>
      <c r="AX14" s="3"/>
      <c r="AY14" s="727">
        <f>C2</f>
        <v>44836</v>
      </c>
      <c r="AZ14" s="728"/>
      <c r="BA14" s="728"/>
      <c r="BB14" s="729"/>
      <c r="BC14" s="3"/>
      <c r="BD14" s="3"/>
      <c r="BE14" s="3"/>
      <c r="BF14" s="94"/>
      <c r="BG14" s="94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</row>
    <row r="15" spans="1:86" ht="16.5" customHeight="1">
      <c r="A15" s="756" t="s">
        <v>68</v>
      </c>
      <c r="B15" s="756"/>
      <c r="C15" s="241">
        <v>1</v>
      </c>
      <c r="D15" s="217"/>
      <c r="E15" s="96"/>
      <c r="F15" s="96"/>
      <c r="G15" s="94"/>
      <c r="H15" s="758" t="s">
        <v>14</v>
      </c>
      <c r="I15" s="758"/>
      <c r="J15" s="758"/>
      <c r="K15" s="758"/>
      <c r="L15" s="758"/>
      <c r="M15" s="758"/>
      <c r="N15" s="758"/>
      <c r="O15" s="717">
        <f>VLOOKUP($C$5,Data!$B$4:$L$7,5)</f>
        <v>32.4</v>
      </c>
      <c r="P15" s="717"/>
      <c r="Q15" s="193" t="s">
        <v>8</v>
      </c>
      <c r="R15" s="94"/>
      <c r="S15" s="193" t="s">
        <v>12</v>
      </c>
      <c r="T15" s="193"/>
      <c r="U15" s="193"/>
      <c r="V15" s="193"/>
      <c r="W15" s="193"/>
      <c r="X15" s="94"/>
      <c r="Y15" s="717">
        <f>(Y13*L10+(Y13-1)*Y14+2*K33)/12</f>
        <v>19.5</v>
      </c>
      <c r="Z15" s="717"/>
      <c r="AA15" s="29" t="s">
        <v>13</v>
      </c>
      <c r="AB15" s="94"/>
      <c r="AC15" s="202"/>
      <c r="AD15" s="29" t="s">
        <v>34</v>
      </c>
      <c r="AE15" s="193"/>
      <c r="AF15" s="193"/>
      <c r="AG15" s="193"/>
      <c r="AH15" s="193"/>
      <c r="AI15" s="202"/>
      <c r="AJ15" s="747">
        <v>0.4</v>
      </c>
      <c r="AK15" s="747"/>
      <c r="AL15" s="193"/>
      <c r="AM15" s="94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94"/>
      <c r="BG15" s="94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</row>
    <row r="16" spans="1:86" ht="16.5" customHeight="1">
      <c r="A16" s="303" t="str">
        <f>IF(C5=3,"Only SK180 options apply.","SK180 options DO NOT apply.")</f>
        <v>SK180 options DO NOT apply.</v>
      </c>
      <c r="B16" s="92"/>
      <c r="C16" s="303" t="str">
        <f>IF(C5=3,"Mainline x Stub","")</f>
        <v/>
      </c>
      <c r="D16" s="114"/>
      <c r="E16" s="19"/>
      <c r="F16" s="96"/>
      <c r="G16" s="94"/>
      <c r="H16" s="758" t="s">
        <v>17</v>
      </c>
      <c r="I16" s="758"/>
      <c r="J16" s="758"/>
      <c r="K16" s="758"/>
      <c r="L16" s="758"/>
      <c r="M16" s="758"/>
      <c r="N16" s="758"/>
      <c r="O16" s="717">
        <f>(O13*O14+2*O15)/12</f>
        <v>520.6</v>
      </c>
      <c r="P16" s="717"/>
      <c r="Q16" s="193" t="s">
        <v>13</v>
      </c>
      <c r="R16" s="94"/>
      <c r="S16" s="30" t="s">
        <v>20</v>
      </c>
      <c r="T16" s="30"/>
      <c r="U16" s="30"/>
      <c r="V16" s="30"/>
      <c r="W16" s="31"/>
      <c r="X16" s="31"/>
      <c r="Y16" s="31"/>
      <c r="Z16" s="31"/>
      <c r="AA16" s="116"/>
      <c r="AB16" s="94"/>
      <c r="AC16" s="94"/>
      <c r="AD16" s="29" t="s">
        <v>179</v>
      </c>
      <c r="AE16" s="193"/>
      <c r="AF16" s="193"/>
      <c r="AG16" s="193"/>
      <c r="AH16" s="193"/>
      <c r="AI16" s="757">
        <f>AI13*AJ15</f>
        <v>16594.587250391476</v>
      </c>
      <c r="AJ16" s="757"/>
      <c r="AK16" s="757"/>
      <c r="AL16" s="29" t="s">
        <v>30</v>
      </c>
      <c r="AM16" s="94"/>
      <c r="AN16" s="3"/>
      <c r="AO16" s="3"/>
      <c r="AP16" s="36" t="s">
        <v>188</v>
      </c>
      <c r="AQ16" s="3"/>
      <c r="AR16" s="3"/>
      <c r="AS16" s="3"/>
      <c r="AT16" s="3"/>
      <c r="AU16" s="3"/>
      <c r="AV16" s="3"/>
      <c r="AW16" s="32"/>
      <c r="AX16" s="3"/>
      <c r="AY16" s="94"/>
      <c r="AZ16" s="3"/>
      <c r="BA16" s="3"/>
      <c r="BB16" s="3"/>
      <c r="BC16" s="3"/>
      <c r="BD16" s="3"/>
      <c r="BE16" s="3"/>
      <c r="BF16" s="94"/>
      <c r="BG16" s="94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</row>
    <row r="17" spans="1:86" ht="16.5" customHeight="1">
      <c r="A17" s="756" t="s">
        <v>69</v>
      </c>
      <c r="B17" s="756"/>
      <c r="C17" s="241">
        <v>18</v>
      </c>
      <c r="D17" s="92"/>
      <c r="E17" s="166"/>
      <c r="F17" s="96"/>
      <c r="G17" s="94"/>
      <c r="H17" s="759" t="s">
        <v>169</v>
      </c>
      <c r="I17" s="759"/>
      <c r="J17" s="759"/>
      <c r="K17" s="759"/>
      <c r="L17" s="759"/>
      <c r="M17" s="759"/>
      <c r="N17" s="759"/>
      <c r="O17" s="771">
        <f>Q55</f>
        <v>1.2268750000000004</v>
      </c>
      <c r="P17" s="772"/>
      <c r="Q17" s="193" t="s">
        <v>13</v>
      </c>
      <c r="R17" s="94"/>
      <c r="S17" s="185" t="s">
        <v>23</v>
      </c>
      <c r="T17" s="22"/>
      <c r="U17" s="22"/>
      <c r="V17" s="22"/>
      <c r="W17" s="185"/>
      <c r="X17" s="94"/>
      <c r="Y17" s="749">
        <f>(AH26+AG28+AH31)/12</f>
        <v>6.708333333333333</v>
      </c>
      <c r="Z17" s="749"/>
      <c r="AA17" s="177" t="s">
        <v>13</v>
      </c>
      <c r="AB17" s="94"/>
      <c r="AC17" s="94"/>
      <c r="AD17" s="33" t="s">
        <v>27</v>
      </c>
      <c r="AE17" s="200"/>
      <c r="AF17" s="200"/>
      <c r="AG17" s="200"/>
      <c r="AH17" s="200"/>
      <c r="AI17" s="200"/>
      <c r="AJ17" s="200"/>
      <c r="AK17" s="200"/>
      <c r="AL17" s="200"/>
      <c r="AM17" s="94"/>
      <c r="AN17" s="3"/>
      <c r="AO17" s="3"/>
      <c r="AP17" s="742">
        <f>Z6</f>
        <v>256</v>
      </c>
      <c r="AQ17" s="742"/>
      <c r="AR17" s="743" t="str">
        <f>VLOOKUP($C$5,Data!$B$4:$L$7,2)</f>
        <v>SK290</v>
      </c>
      <c r="AS17" s="743"/>
      <c r="AT17" s="195" t="s">
        <v>37</v>
      </c>
      <c r="AU17" s="196"/>
      <c r="AV17" s="195"/>
      <c r="AW17" s="195"/>
      <c r="AX17" s="195"/>
      <c r="AY17" s="195"/>
      <c r="AZ17" s="3"/>
      <c r="BA17" s="3"/>
      <c r="BB17" s="3"/>
      <c r="BC17" s="3"/>
      <c r="BD17" s="3"/>
      <c r="BE17" s="3"/>
      <c r="BF17" s="94"/>
      <c r="BG17" s="94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</row>
    <row r="18" spans="1:86" ht="16.5" customHeight="1">
      <c r="A18" s="303" t="str">
        <f>IF(C5=4,"Only SK290 options apply.","SK290 options DO NOT apply.")</f>
        <v>Only SK290 options apply.</v>
      </c>
      <c r="B18" s="92"/>
      <c r="C18" s="303" t="str">
        <f>IF(C5=4,"Mainline x Stub","")</f>
        <v>Mainline x Stub</v>
      </c>
      <c r="D18" s="114"/>
      <c r="E18" s="94"/>
      <c r="F18" s="96"/>
      <c r="G18" s="94"/>
      <c r="H18" s="759" t="s">
        <v>170</v>
      </c>
      <c r="I18" s="759"/>
      <c r="J18" s="759"/>
      <c r="K18" s="759"/>
      <c r="L18" s="759"/>
      <c r="M18" s="759"/>
      <c r="N18" s="759"/>
      <c r="O18" s="771">
        <f>Q56</f>
        <v>5.9074999999999998</v>
      </c>
      <c r="P18" s="771"/>
      <c r="Q18" s="193" t="s">
        <v>13</v>
      </c>
      <c r="R18" s="94"/>
      <c r="S18" s="33" t="s">
        <v>174</v>
      </c>
      <c r="T18" s="116"/>
      <c r="U18" s="116"/>
      <c r="V18" s="116"/>
      <c r="W18" s="116"/>
      <c r="X18" s="116"/>
      <c r="Y18" s="116"/>
      <c r="Z18" s="116"/>
      <c r="AA18" s="116"/>
      <c r="AB18" s="117"/>
      <c r="AC18" s="202"/>
      <c r="AD18" s="206" t="s">
        <v>197</v>
      </c>
      <c r="AE18" s="203"/>
      <c r="AF18" s="187"/>
      <c r="AG18" s="187"/>
      <c r="AH18" s="187"/>
      <c r="AI18" s="745">
        <f>Y10+2*AJ6+AI16</f>
        <v>45013.220905159789</v>
      </c>
      <c r="AJ18" s="745"/>
      <c r="AK18" s="745"/>
      <c r="AL18" s="207" t="s">
        <v>31</v>
      </c>
      <c r="AM18" s="193"/>
      <c r="AN18" s="3"/>
      <c r="AO18" s="3"/>
      <c r="AP18" s="742">
        <f>Z8</f>
        <v>4</v>
      </c>
      <c r="AQ18" s="742"/>
      <c r="AR18" s="743" t="str">
        <f>VLOOKUP($C$5,Data!$B$4:$L$7,2)</f>
        <v>SK290</v>
      </c>
      <c r="AS18" s="743"/>
      <c r="AT18" s="195" t="s">
        <v>38</v>
      </c>
      <c r="AU18" s="196"/>
      <c r="AV18" s="195"/>
      <c r="AW18" s="195"/>
      <c r="AX18" s="195"/>
      <c r="AY18" s="195"/>
      <c r="AZ18" s="3"/>
      <c r="BA18" s="3"/>
      <c r="BB18" s="3"/>
      <c r="BC18" s="3"/>
      <c r="BD18" s="3"/>
      <c r="BE18" s="3"/>
      <c r="BF18" s="94"/>
      <c r="BG18" s="94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</row>
    <row r="19" spans="1:86" ht="16.5" customHeight="1">
      <c r="A19" s="756" t="s">
        <v>695</v>
      </c>
      <c r="B19" s="756"/>
      <c r="C19" s="241">
        <v>42</v>
      </c>
      <c r="D19" s="92"/>
      <c r="E19" s="94"/>
      <c r="F19" s="96"/>
      <c r="G19" s="94"/>
      <c r="H19" s="763" t="s">
        <v>24</v>
      </c>
      <c r="I19" s="763"/>
      <c r="J19" s="763"/>
      <c r="K19" s="763"/>
      <c r="L19" s="763"/>
      <c r="M19" s="725">
        <f>O16+2*O17+2*O18</f>
        <v>534.86875000000009</v>
      </c>
      <c r="N19" s="725"/>
      <c r="O19" s="725"/>
      <c r="P19" s="725"/>
      <c r="Q19" s="193" t="s">
        <v>13</v>
      </c>
      <c r="R19" s="94"/>
      <c r="S19" s="193" t="s">
        <v>175</v>
      </c>
      <c r="T19" s="94"/>
      <c r="U19" s="94"/>
      <c r="V19" s="94"/>
      <c r="W19" s="94"/>
      <c r="X19" s="739">
        <f>Y15*Y17*M19</f>
        <v>69967.518359375012</v>
      </c>
      <c r="Y19" s="739"/>
      <c r="Z19" s="739"/>
      <c r="AA19" s="29" t="s">
        <v>30</v>
      </c>
      <c r="AB19" s="157"/>
      <c r="AC19" s="191"/>
      <c r="AD19" s="208" t="s">
        <v>181</v>
      </c>
      <c r="AE19" s="205"/>
      <c r="AF19" s="22"/>
      <c r="AG19" s="22"/>
      <c r="AH19" s="22"/>
      <c r="AI19" s="744">
        <f>C2</f>
        <v>44836</v>
      </c>
      <c r="AJ19" s="744"/>
      <c r="AK19" s="744"/>
      <c r="AL19" s="209" t="s">
        <v>31</v>
      </c>
      <c r="AM19" s="94"/>
      <c r="AN19" s="3"/>
      <c r="AO19" s="3"/>
      <c r="AP19" s="774">
        <f>AI13/27</f>
        <v>1536.5358565177291</v>
      </c>
      <c r="AQ19" s="774"/>
      <c r="AR19" s="743" t="s">
        <v>39</v>
      </c>
      <c r="AS19" s="743"/>
      <c r="AT19" s="743"/>
      <c r="AU19" s="743"/>
      <c r="AV19" s="743"/>
      <c r="AW19" s="743"/>
      <c r="AX19" s="743"/>
      <c r="AY19" s="195"/>
      <c r="AZ19" s="3"/>
      <c r="BA19" s="3"/>
      <c r="BB19" s="3"/>
      <c r="BC19" s="3"/>
      <c r="BD19" s="3"/>
      <c r="BE19" s="3"/>
      <c r="BF19" s="94"/>
      <c r="BG19" s="94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</row>
    <row r="20" spans="1:86" ht="16.5" customHeight="1">
      <c r="A20" s="92"/>
      <c r="B20" s="92"/>
      <c r="C20" s="92"/>
      <c r="D20" s="92"/>
      <c r="E20" s="117"/>
      <c r="F20" s="96"/>
      <c r="G20" s="181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6"/>
      <c r="S20" s="94"/>
      <c r="T20" s="94"/>
      <c r="U20" s="94"/>
      <c r="V20" s="94"/>
      <c r="W20" s="94"/>
      <c r="X20" s="94"/>
      <c r="Y20" s="94"/>
      <c r="Z20" s="94"/>
      <c r="AA20" s="94"/>
      <c r="AB20" s="3"/>
      <c r="AC20" s="3"/>
      <c r="AD20" s="750" t="s">
        <v>35</v>
      </c>
      <c r="AE20" s="751"/>
      <c r="AF20" s="751"/>
      <c r="AG20" s="751"/>
      <c r="AH20" s="751"/>
      <c r="AI20" s="751"/>
      <c r="AJ20" s="752">
        <f>AI18/AI19</f>
        <v>1.0039526475412568</v>
      </c>
      <c r="AK20" s="752"/>
      <c r="AL20" s="753"/>
      <c r="AM20" s="3"/>
      <c r="AN20" s="3"/>
      <c r="AO20" s="3"/>
      <c r="AP20" s="774">
        <f>(2*Y15*M19+2*Y17*M19+2*Y17*Y15)/9</f>
        <v>3144.1846643518525</v>
      </c>
      <c r="AQ20" s="774"/>
      <c r="AR20" s="743" t="s">
        <v>41</v>
      </c>
      <c r="AS20" s="743"/>
      <c r="AT20" s="743"/>
      <c r="AU20" s="743"/>
      <c r="AV20" s="743"/>
      <c r="AW20" s="743"/>
      <c r="AX20" s="743"/>
      <c r="AY20" s="743"/>
      <c r="AZ20" s="3"/>
      <c r="BA20" s="3"/>
      <c r="BB20" s="3"/>
      <c r="BC20" s="3"/>
      <c r="BD20" s="3"/>
      <c r="BE20" s="3"/>
      <c r="BF20" s="94"/>
      <c r="BG20" s="94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</row>
    <row r="21" spans="1:86" ht="16.5" customHeight="1">
      <c r="A21" s="302" t="s">
        <v>212</v>
      </c>
      <c r="B21" s="114"/>
      <c r="C21" s="241">
        <v>1</v>
      </c>
      <c r="D21" s="114"/>
      <c r="E21" s="117"/>
      <c r="F21" s="96"/>
      <c r="G21" s="181"/>
      <c r="H21" s="181"/>
      <c r="I21" s="689" t="s">
        <v>40</v>
      </c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89"/>
      <c r="U21" s="689"/>
      <c r="V21" s="689"/>
      <c r="W21" s="689"/>
      <c r="X21" s="689"/>
      <c r="Y21" s="755"/>
      <c r="Z21" s="3"/>
      <c r="AA21" s="3"/>
      <c r="AB21" s="3"/>
      <c r="AC21" s="3"/>
      <c r="AD21" s="94"/>
      <c r="AE21" s="94"/>
      <c r="AF21" s="94"/>
      <c r="AG21" s="94"/>
      <c r="AH21" s="94"/>
      <c r="AI21" s="94"/>
      <c r="AJ21" s="94"/>
      <c r="AK21" s="94"/>
      <c r="AL21" s="94"/>
      <c r="AM21" s="3"/>
      <c r="AN21" s="3"/>
      <c r="AO21" s="3"/>
      <c r="AP21" s="198"/>
      <c r="AQ21" s="754" t="s">
        <v>171</v>
      </c>
      <c r="AR21" s="754"/>
      <c r="AS21" s="754"/>
      <c r="AT21" s="754"/>
      <c r="AU21" s="754"/>
      <c r="AV21" s="754"/>
      <c r="AW21" s="754"/>
      <c r="AX21" s="754"/>
      <c r="AY21" s="754"/>
      <c r="AZ21" s="754"/>
      <c r="BA21" s="216"/>
      <c r="BB21" s="216"/>
      <c r="BC21" s="216"/>
      <c r="BD21" s="216"/>
      <c r="BE21" s="3"/>
      <c r="BF21" s="94"/>
      <c r="BG21" s="94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</row>
    <row r="22" spans="1:86" ht="16.5" customHeight="1">
      <c r="A22" s="92"/>
      <c r="B22" s="92"/>
      <c r="C22" s="92"/>
      <c r="D22" s="92"/>
      <c r="E22" s="117"/>
      <c r="F22" s="96"/>
      <c r="G22" s="13"/>
      <c r="H22" s="14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89"/>
      <c r="U22" s="689"/>
      <c r="V22" s="689"/>
      <c r="W22" s="689"/>
      <c r="X22" s="689"/>
      <c r="Y22" s="755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197"/>
      <c r="AQ22" s="754"/>
      <c r="AR22" s="754"/>
      <c r="AS22" s="754"/>
      <c r="AT22" s="754"/>
      <c r="AU22" s="754"/>
      <c r="AV22" s="754"/>
      <c r="AW22" s="754"/>
      <c r="AX22" s="754"/>
      <c r="AY22" s="754"/>
      <c r="AZ22" s="754"/>
      <c r="BA22" s="216"/>
      <c r="BB22" s="216"/>
      <c r="BC22" s="216"/>
      <c r="BD22" s="216"/>
      <c r="BE22" s="3"/>
      <c r="BF22" s="94"/>
      <c r="BG22" s="94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</row>
    <row r="23" spans="1:86" ht="16.5" customHeight="1">
      <c r="A23" s="300" t="s">
        <v>213</v>
      </c>
      <c r="B23" s="92"/>
      <c r="C23" s="92"/>
      <c r="D23" s="92"/>
      <c r="E23" s="117"/>
      <c r="F23" s="96"/>
      <c r="G23" s="181"/>
      <c r="H23" s="21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89"/>
      <c r="T23" s="689"/>
      <c r="U23" s="689"/>
      <c r="V23" s="689"/>
      <c r="W23" s="689"/>
      <c r="X23" s="689"/>
      <c r="Y23" s="755"/>
      <c r="Z23" s="3"/>
      <c r="AA23" s="3"/>
      <c r="AB23" s="3"/>
      <c r="AC23" s="3"/>
      <c r="AD23" s="3"/>
      <c r="AE23" s="3"/>
      <c r="AF23" s="3"/>
      <c r="AG23" s="3"/>
      <c r="AH23" s="94"/>
      <c r="AI23" s="94"/>
      <c r="AJ23" s="94"/>
      <c r="AK23" s="3"/>
      <c r="AL23" s="3"/>
      <c r="AM23" s="3"/>
      <c r="AN23" s="3"/>
      <c r="AO23" s="3"/>
      <c r="AP23" s="36" t="s">
        <v>42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94"/>
      <c r="BG23" s="94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</row>
    <row r="24" spans="1:86" ht="16.5" customHeight="1">
      <c r="A24" s="671" t="s">
        <v>184</v>
      </c>
      <c r="B24" s="671"/>
      <c r="C24" s="226">
        <f>(C2-2*((Y15*Y17*O15/12-C8*Z9)*AJ15+C8*Z9)-(2*AJ6+2*((Q55+Q56)*Y15*Y17-AJ9)*AJ15))/((C8*L8+(Y15*Y17-C8*L8)*AJ15)*O14/12)</f>
        <v>127.48218589901761</v>
      </c>
      <c r="D24" s="227"/>
      <c r="E24" s="94"/>
      <c r="F24" s="96"/>
      <c r="G24" s="182"/>
      <c r="H24" s="182"/>
      <c r="I24" s="691"/>
      <c r="J24" s="691"/>
      <c r="K24" s="15"/>
      <c r="L24" s="5"/>
      <c r="M24" s="5"/>
      <c r="N24" s="5"/>
      <c r="O24" s="5"/>
      <c r="P24" s="5"/>
      <c r="Q24" s="5"/>
      <c r="R24" s="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48"/>
      <c r="AQ24" s="693"/>
      <c r="AR24" s="693"/>
      <c r="AS24" s="693"/>
      <c r="AT24" s="693"/>
      <c r="AU24" s="693"/>
      <c r="AV24" s="693"/>
      <c r="AW24" s="693"/>
      <c r="AX24" s="693"/>
      <c r="AY24" s="693"/>
      <c r="AZ24" s="693"/>
      <c r="BA24" s="693"/>
      <c r="BB24" s="693"/>
      <c r="BC24" s="693"/>
      <c r="BD24" s="49"/>
      <c r="BE24" s="3"/>
      <c r="BF24" s="94"/>
      <c r="BG24" s="94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</row>
    <row r="25" spans="1:86" ht="12.75" customHeight="1">
      <c r="A25" s="671" t="s">
        <v>185</v>
      </c>
      <c r="B25" s="671"/>
      <c r="C25" s="215">
        <f>ROUNDUP((C2-2*((Y15*Y17*O15/12-C8*Z9)*AJ15+C8*Z9)-(2*AJ6+2*((Q55+Q56)*Y15*Y17-AJ9)*AJ15))/((C8*L8+(Y15*Y17-C8*L8)*AJ15)*O14/12),0)</f>
        <v>128</v>
      </c>
      <c r="D25" s="227"/>
      <c r="E25" s="94"/>
      <c r="F25" s="96"/>
      <c r="G25" s="11"/>
      <c r="H25" s="11"/>
      <c r="I25" s="11"/>
      <c r="J25" s="11"/>
      <c r="K25" s="15"/>
      <c r="L25" s="5"/>
      <c r="M25" s="5"/>
      <c r="N25" s="5"/>
      <c r="O25" s="5"/>
      <c r="P25" s="5"/>
      <c r="Q25" s="5"/>
      <c r="R25" s="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50"/>
      <c r="AQ25" s="693"/>
      <c r="AR25" s="693"/>
      <c r="AS25" s="693"/>
      <c r="AT25" s="693"/>
      <c r="AU25" s="693"/>
      <c r="AV25" s="693"/>
      <c r="AW25" s="693"/>
      <c r="AX25" s="693"/>
      <c r="AY25" s="693"/>
      <c r="AZ25" s="693"/>
      <c r="BA25" s="693"/>
      <c r="BB25" s="693"/>
      <c r="BC25" s="693"/>
      <c r="BD25" s="51"/>
      <c r="BE25" s="3"/>
      <c r="BF25" s="94"/>
      <c r="BG25" s="94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</row>
    <row r="26" spans="1:86" ht="16.5" customHeight="1">
      <c r="A26" s="672" t="s">
        <v>186</v>
      </c>
      <c r="B26" s="673"/>
      <c r="C26" s="708">
        <f>(C8*L8+(Y15*Y17-C8*L8)*AJ15)*O14/12*C25+2*((Y15*Y17*O15/12-C8*Z9)*AJ15+C8*Z9)+2*AJ6+2*((Q55+Q56)*Y15*Y17-AJ9)*AJ15</f>
        <v>45013.220905159782</v>
      </c>
      <c r="D26" s="708"/>
      <c r="E26" s="94"/>
      <c r="F26" s="96"/>
      <c r="G26" s="11"/>
      <c r="H26" s="11"/>
      <c r="I26" s="11"/>
      <c r="J26" s="11"/>
      <c r="K26" s="15"/>
      <c r="L26" s="5"/>
      <c r="M26" s="5"/>
      <c r="N26" s="5"/>
      <c r="O26" s="5"/>
      <c r="P26" s="5"/>
      <c r="Q26" s="5"/>
      <c r="R26" s="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685">
        <f>VLOOKUP($C$5,Data!$B$4:$L$7,11)</f>
        <v>12</v>
      </c>
      <c r="AI26" s="685"/>
      <c r="AJ26" s="3"/>
      <c r="AK26" s="3"/>
      <c r="AL26" s="3"/>
      <c r="AM26" s="3"/>
      <c r="AN26" s="3"/>
      <c r="AO26" s="3"/>
      <c r="AP26" s="50"/>
      <c r="AQ26" s="693"/>
      <c r="AR26" s="693"/>
      <c r="AS26" s="693"/>
      <c r="AT26" s="693"/>
      <c r="AU26" s="693"/>
      <c r="AV26" s="693"/>
      <c r="AW26" s="693"/>
      <c r="AX26" s="693"/>
      <c r="AY26" s="693"/>
      <c r="AZ26" s="693"/>
      <c r="BA26" s="693"/>
      <c r="BB26" s="693"/>
      <c r="BC26" s="693"/>
      <c r="BD26" s="51"/>
      <c r="BE26" s="3"/>
      <c r="BF26" s="94"/>
      <c r="BG26" s="94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</row>
    <row r="27" spans="1:86" ht="16.5" customHeight="1">
      <c r="A27" s="92"/>
      <c r="B27" s="92"/>
      <c r="C27" s="92"/>
      <c r="D27" s="92"/>
      <c r="E27" s="94"/>
      <c r="F27" s="3"/>
      <c r="G27" s="11"/>
      <c r="H27" s="11"/>
      <c r="I27" s="11"/>
      <c r="J27" s="11"/>
      <c r="K27" s="16"/>
      <c r="L27" s="5"/>
      <c r="M27" s="5"/>
      <c r="N27" s="5"/>
      <c r="O27" s="5"/>
      <c r="P27" s="5"/>
      <c r="Q27" s="5"/>
      <c r="R27" s="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26"/>
      <c r="AH27" s="26"/>
      <c r="AI27" s="3"/>
      <c r="AJ27" s="696">
        <f>Y17</f>
        <v>6.708333333333333</v>
      </c>
      <c r="AK27" s="696"/>
      <c r="AL27" s="3"/>
      <c r="AM27" s="3"/>
      <c r="AN27" s="3"/>
      <c r="AO27" s="3"/>
      <c r="AP27" s="50"/>
      <c r="AQ27" s="693"/>
      <c r="AR27" s="693"/>
      <c r="AS27" s="693"/>
      <c r="AT27" s="693"/>
      <c r="AU27" s="693"/>
      <c r="AV27" s="693"/>
      <c r="AW27" s="693"/>
      <c r="AX27" s="693"/>
      <c r="AY27" s="693"/>
      <c r="AZ27" s="693"/>
      <c r="BA27" s="693"/>
      <c r="BB27" s="693"/>
      <c r="BC27" s="693"/>
      <c r="BD27" s="51"/>
      <c r="BE27" s="3"/>
      <c r="BF27" s="94"/>
      <c r="BG27" s="94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</row>
    <row r="28" spans="1:86" ht="16.5" customHeight="1">
      <c r="A28" s="211" t="s">
        <v>238</v>
      </c>
      <c r="B28" s="92"/>
      <c r="C28" s="92"/>
      <c r="D28" s="92"/>
      <c r="E28" s="94"/>
      <c r="F28" s="3"/>
      <c r="G28" s="11"/>
      <c r="H28" s="11"/>
      <c r="I28" s="11"/>
      <c r="J28" s="11"/>
      <c r="K28" s="12"/>
      <c r="L28" s="5"/>
      <c r="M28" s="5"/>
      <c r="N28" s="5"/>
      <c r="O28" s="5"/>
      <c r="P28" s="5"/>
      <c r="Q28" s="5"/>
      <c r="R28" s="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699">
        <f>VLOOKUP($C$5,Data!$B$4:$L$7,7)</f>
        <v>59.5</v>
      </c>
      <c r="AH28" s="699"/>
      <c r="AI28" s="699"/>
      <c r="AJ28" s="700" t="s">
        <v>43</v>
      </c>
      <c r="AK28" s="700"/>
      <c r="AL28" s="700"/>
      <c r="AM28" s="3"/>
      <c r="AN28" s="3"/>
      <c r="AO28" s="3"/>
      <c r="AP28" s="50"/>
      <c r="AQ28" s="693"/>
      <c r="AR28" s="693"/>
      <c r="AS28" s="693"/>
      <c r="AT28" s="693"/>
      <c r="AU28" s="693"/>
      <c r="AV28" s="693"/>
      <c r="AW28" s="693"/>
      <c r="AX28" s="693"/>
      <c r="AY28" s="693"/>
      <c r="AZ28" s="693"/>
      <c r="BA28" s="693"/>
      <c r="BB28" s="693"/>
      <c r="BC28" s="693"/>
      <c r="BD28" s="51"/>
      <c r="BE28" s="3"/>
      <c r="BF28" s="94"/>
      <c r="BG28" s="94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</row>
    <row r="29" spans="1:86" ht="16.5" customHeight="1">
      <c r="A29" s="211" t="s">
        <v>239</v>
      </c>
      <c r="B29" s="92"/>
      <c r="C29" s="92"/>
      <c r="D29" s="92"/>
      <c r="E29" s="94"/>
      <c r="F29" s="3"/>
      <c r="G29" s="3"/>
      <c r="H29" s="3"/>
      <c r="I29" s="3"/>
      <c r="J29" s="3"/>
      <c r="K29" s="89"/>
      <c r="L29" s="89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699"/>
      <c r="AH29" s="699"/>
      <c r="AI29" s="699"/>
      <c r="AJ29" s="700"/>
      <c r="AK29" s="700"/>
      <c r="AL29" s="700"/>
      <c r="AM29" s="3"/>
      <c r="AN29" s="3"/>
      <c r="AO29" s="3"/>
      <c r="AP29" s="50"/>
      <c r="AQ29" s="693"/>
      <c r="AR29" s="693"/>
      <c r="AS29" s="693"/>
      <c r="AT29" s="693"/>
      <c r="AU29" s="693"/>
      <c r="AV29" s="693"/>
      <c r="AW29" s="693"/>
      <c r="AX29" s="693"/>
      <c r="AY29" s="693"/>
      <c r="AZ29" s="693"/>
      <c r="BA29" s="693"/>
      <c r="BB29" s="693"/>
      <c r="BC29" s="693"/>
      <c r="BD29" s="51"/>
      <c r="BE29" s="3"/>
      <c r="BF29" s="94"/>
      <c r="BG29" s="94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</row>
    <row r="30" spans="1:86" ht="16.5" customHeight="1">
      <c r="A30" s="92"/>
      <c r="B30" s="92"/>
      <c r="C30" s="92"/>
      <c r="D30" s="92"/>
      <c r="E30" s="94"/>
      <c r="F30" s="3"/>
      <c r="G30" s="3"/>
      <c r="H30" s="3"/>
      <c r="I30" s="3"/>
      <c r="J30" s="3"/>
      <c r="K30" s="89"/>
      <c r="L30" s="89"/>
      <c r="M30" s="17"/>
      <c r="N30" s="11"/>
      <c r="O30" s="3"/>
      <c r="P30" s="3"/>
      <c r="Q30" s="17"/>
      <c r="R30" s="1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26"/>
      <c r="AH30" s="3"/>
      <c r="AI30" s="3"/>
      <c r="AJ30" s="3"/>
      <c r="AK30" s="3"/>
      <c r="AL30" s="3"/>
      <c r="AM30" s="3"/>
      <c r="AN30" s="3"/>
      <c r="AO30" s="3"/>
      <c r="AP30" s="50"/>
      <c r="AQ30" s="693"/>
      <c r="AR30" s="693"/>
      <c r="AS30" s="693"/>
      <c r="AT30" s="693"/>
      <c r="AU30" s="693"/>
      <c r="AV30" s="693"/>
      <c r="AW30" s="693"/>
      <c r="AX30" s="693"/>
      <c r="AY30" s="693"/>
      <c r="AZ30" s="693"/>
      <c r="BA30" s="693"/>
      <c r="BB30" s="693"/>
      <c r="BC30" s="693"/>
      <c r="BD30" s="51"/>
      <c r="BE30" s="3"/>
      <c r="BF30" s="94"/>
      <c r="BG30" s="94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</row>
    <row r="31" spans="1:86" ht="16.5" customHeight="1">
      <c r="A31" s="715" t="s">
        <v>261</v>
      </c>
      <c r="B31" s="715"/>
      <c r="C31" s="715"/>
      <c r="D31" s="715"/>
      <c r="E31" s="94"/>
      <c r="F31" s="3"/>
      <c r="G31" s="3"/>
      <c r="H31" s="3"/>
      <c r="I31" s="3"/>
      <c r="J31" s="3"/>
      <c r="K31" s="89"/>
      <c r="L31" s="89"/>
      <c r="M31" s="19"/>
      <c r="N31" s="3"/>
      <c r="O31" s="3"/>
      <c r="P31" s="3"/>
      <c r="Q31" s="19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684">
        <f>VLOOKUP($C$5,Data!$B$4:$L$7,10)</f>
        <v>9</v>
      </c>
      <c r="AI31" s="684"/>
      <c r="AJ31" s="3"/>
      <c r="AK31" s="3"/>
      <c r="AL31" s="3"/>
      <c r="AM31" s="3"/>
      <c r="AN31" s="3"/>
      <c r="AO31" s="3"/>
      <c r="AP31" s="50"/>
      <c r="AQ31" s="693"/>
      <c r="AR31" s="693"/>
      <c r="AS31" s="693"/>
      <c r="AT31" s="693"/>
      <c r="AU31" s="693"/>
      <c r="AV31" s="693"/>
      <c r="AW31" s="693"/>
      <c r="AX31" s="693"/>
      <c r="AY31" s="693"/>
      <c r="AZ31" s="693"/>
      <c r="BA31" s="693"/>
      <c r="BB31" s="693"/>
      <c r="BC31" s="693"/>
      <c r="BD31" s="51"/>
      <c r="BE31" s="3"/>
      <c r="BF31" s="94"/>
      <c r="BG31" s="94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</row>
    <row r="32" spans="1:86" ht="16.5" customHeight="1">
      <c r="A32" s="715"/>
      <c r="B32" s="715"/>
      <c r="C32" s="715"/>
      <c r="D32" s="715"/>
      <c r="E32" s="94"/>
      <c r="F32" s="3"/>
      <c r="G32" s="43"/>
      <c r="H32" s="9"/>
      <c r="I32" s="3"/>
      <c r="J32" s="3"/>
      <c r="K32" s="91"/>
      <c r="L32" s="91"/>
      <c r="M32" s="182"/>
      <c r="N32" s="91"/>
      <c r="O32" s="91"/>
      <c r="P32" s="43"/>
      <c r="Q32" s="42"/>
      <c r="R32" s="91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50"/>
      <c r="AQ32" s="693"/>
      <c r="AR32" s="693"/>
      <c r="AS32" s="693"/>
      <c r="AT32" s="693"/>
      <c r="AU32" s="693"/>
      <c r="AV32" s="693"/>
      <c r="AW32" s="693"/>
      <c r="AX32" s="693"/>
      <c r="AY32" s="693"/>
      <c r="AZ32" s="693"/>
      <c r="BA32" s="693"/>
      <c r="BB32" s="693"/>
      <c r="BC32" s="693"/>
      <c r="BD32" s="51"/>
      <c r="BE32" s="3"/>
      <c r="BF32" s="94"/>
      <c r="BG32" s="94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</row>
    <row r="33" spans="1:86" ht="16.5" customHeight="1">
      <c r="A33" s="92"/>
      <c r="B33" s="92"/>
      <c r="C33" s="92"/>
      <c r="D33" s="92"/>
      <c r="E33" s="94"/>
      <c r="F33" s="3"/>
      <c r="G33" s="39"/>
      <c r="H33" s="39"/>
      <c r="I33" s="39"/>
      <c r="J33" s="39"/>
      <c r="K33" s="694">
        <f>VLOOKUP($C$5,Data!$B$4:$L$7,9)</f>
        <v>12</v>
      </c>
      <c r="L33" s="694"/>
      <c r="M33" s="91"/>
      <c r="N33" s="91"/>
      <c r="O33" s="91"/>
      <c r="P33" s="43"/>
      <c r="Q33" s="42"/>
      <c r="R33" s="91"/>
      <c r="S33" s="684">
        <f>Y14</f>
        <v>9</v>
      </c>
      <c r="T33" s="684"/>
      <c r="U33" s="3"/>
      <c r="V33" s="3"/>
      <c r="W33" s="3"/>
      <c r="X33" s="3"/>
      <c r="Y33" s="3"/>
      <c r="Z33" s="3"/>
      <c r="AA33" s="3"/>
      <c r="AB33" s="695">
        <f>L10</f>
        <v>100.5</v>
      </c>
      <c r="AC33" s="695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50"/>
      <c r="AQ33" s="693"/>
      <c r="AR33" s="693"/>
      <c r="AS33" s="693"/>
      <c r="AT33" s="693"/>
      <c r="AU33" s="693"/>
      <c r="AV33" s="693"/>
      <c r="AW33" s="693"/>
      <c r="AX33" s="693"/>
      <c r="AY33" s="693"/>
      <c r="AZ33" s="693"/>
      <c r="BA33" s="693"/>
      <c r="BB33" s="693"/>
      <c r="BC33" s="693"/>
      <c r="BD33" s="51"/>
      <c r="BE33" s="3"/>
      <c r="BF33" s="94"/>
      <c r="BG33" s="94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</row>
    <row r="34" spans="1:86" ht="16.5" customHeight="1">
      <c r="A34" s="92"/>
      <c r="B34" s="92"/>
      <c r="C34" s="92"/>
      <c r="D34" s="92"/>
      <c r="E34" s="94"/>
      <c r="F34" s="3"/>
      <c r="G34" s="91"/>
      <c r="H34" s="91"/>
      <c r="I34" s="3"/>
      <c r="J34" s="3"/>
      <c r="K34" s="89"/>
      <c r="L34" s="3"/>
      <c r="M34" s="3"/>
      <c r="N34" s="3"/>
      <c r="O34" s="3"/>
      <c r="P34" s="91"/>
      <c r="Q34" s="91"/>
      <c r="R34" s="91"/>
      <c r="S34" s="3"/>
      <c r="T34" s="681">
        <f>Y15</f>
        <v>19.5</v>
      </c>
      <c r="U34" s="681"/>
      <c r="V34" s="681"/>
      <c r="W34" s="697" t="s">
        <v>199</v>
      </c>
      <c r="X34" s="697"/>
      <c r="Y34" s="697"/>
      <c r="Z34" s="697"/>
      <c r="AA34" s="697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50"/>
      <c r="AQ34" s="693"/>
      <c r="AR34" s="693"/>
      <c r="AS34" s="693"/>
      <c r="AT34" s="693"/>
      <c r="AU34" s="693"/>
      <c r="AV34" s="693"/>
      <c r="AW34" s="693"/>
      <c r="AX34" s="693"/>
      <c r="AY34" s="693"/>
      <c r="AZ34" s="693"/>
      <c r="BA34" s="693"/>
      <c r="BB34" s="693"/>
      <c r="BC34" s="693"/>
      <c r="BD34" s="51"/>
      <c r="BE34" s="3"/>
      <c r="BF34" s="94"/>
      <c r="BG34" s="94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</row>
    <row r="35" spans="1:86" ht="16.5" customHeight="1">
      <c r="A35" s="92"/>
      <c r="B35" s="92"/>
      <c r="C35" s="92"/>
      <c r="D35" s="92"/>
      <c r="E35" s="94"/>
      <c r="F35" s="3"/>
      <c r="G35" s="3"/>
      <c r="H35" s="3"/>
      <c r="I35" s="34" t="s">
        <v>44</v>
      </c>
      <c r="J35" s="3"/>
      <c r="K35" s="89"/>
      <c r="L35" s="8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50"/>
      <c r="AQ35" s="693"/>
      <c r="AR35" s="693"/>
      <c r="AS35" s="693"/>
      <c r="AT35" s="693"/>
      <c r="AU35" s="693"/>
      <c r="AV35" s="693"/>
      <c r="AW35" s="693"/>
      <c r="AX35" s="693"/>
      <c r="AY35" s="693"/>
      <c r="AZ35" s="693"/>
      <c r="BA35" s="693"/>
      <c r="BB35" s="693"/>
      <c r="BC35" s="693"/>
      <c r="BD35" s="51"/>
      <c r="BE35" s="3"/>
      <c r="BF35" s="94"/>
      <c r="BG35" s="94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</row>
    <row r="36" spans="1:86" ht="16.5" customHeight="1">
      <c r="A36" s="92"/>
      <c r="B36" s="92"/>
      <c r="C36" s="92"/>
      <c r="D36" s="92"/>
      <c r="E36" s="94"/>
      <c r="F36" s="3"/>
      <c r="G36" s="3"/>
      <c r="H36" s="3"/>
      <c r="I36" s="3"/>
      <c r="J36" s="3"/>
      <c r="K36" s="89"/>
      <c r="L36" s="89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52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53"/>
      <c r="BE36" s="3"/>
      <c r="BF36" s="94"/>
      <c r="BG36" s="94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</row>
    <row r="37" spans="1:86" ht="16.5" customHeight="1">
      <c r="A37" s="92"/>
      <c r="B37" s="92"/>
      <c r="C37" s="92"/>
      <c r="D37" s="92"/>
      <c r="E37" s="94"/>
      <c r="F37" s="3"/>
      <c r="G37" s="3"/>
      <c r="H37" s="679" t="s">
        <v>200</v>
      </c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79"/>
      <c r="AC37" s="679"/>
      <c r="AD37" s="679"/>
      <c r="AE37" s="679"/>
      <c r="AF37" s="679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94"/>
      <c r="BG37" s="94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</row>
    <row r="38" spans="1:86" ht="16.5" customHeight="1">
      <c r="A38" s="92"/>
      <c r="B38" s="92"/>
      <c r="C38" s="92"/>
      <c r="D38" s="92"/>
      <c r="E38" s="94"/>
      <c r="F38" s="3"/>
      <c r="G38" s="3"/>
      <c r="H38" s="679"/>
      <c r="I38" s="679"/>
      <c r="J38" s="679"/>
      <c r="K38" s="679"/>
      <c r="L38" s="679"/>
      <c r="M38" s="679"/>
      <c r="N38" s="679"/>
      <c r="O38" s="679"/>
      <c r="P38" s="679"/>
      <c r="Q38" s="679"/>
      <c r="R38" s="679"/>
      <c r="S38" s="679"/>
      <c r="T38" s="679"/>
      <c r="U38" s="679"/>
      <c r="V38" s="679"/>
      <c r="W38" s="679"/>
      <c r="X38" s="679"/>
      <c r="Y38" s="679"/>
      <c r="Z38" s="679"/>
      <c r="AA38" s="679"/>
      <c r="AB38" s="679"/>
      <c r="AC38" s="679"/>
      <c r="AD38" s="679"/>
      <c r="AE38" s="679"/>
      <c r="AF38" s="679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94"/>
      <c r="BG38" s="94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</row>
    <row r="39" spans="1:86" ht="16.5" customHeight="1">
      <c r="A39" s="92"/>
      <c r="B39" s="92"/>
      <c r="C39" s="92"/>
      <c r="D39" s="92"/>
      <c r="E39" s="94"/>
      <c r="F39" s="3"/>
      <c r="G39" s="20"/>
      <c r="H39" s="3"/>
      <c r="I39" s="3"/>
      <c r="J39" s="3"/>
      <c r="K39" s="89"/>
      <c r="L39" s="89"/>
      <c r="M39" s="3"/>
      <c r="N39" s="3"/>
      <c r="O39" s="3"/>
      <c r="P39" s="3"/>
      <c r="Q39" s="3"/>
      <c r="R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94"/>
      <c r="BG39" s="94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</row>
    <row r="40" spans="1:86" ht="16.5" customHeight="1">
      <c r="A40" s="92"/>
      <c r="B40" s="92"/>
      <c r="C40" s="92"/>
      <c r="D40" s="92"/>
      <c r="E40" s="94"/>
      <c r="F40" s="3"/>
      <c r="G40" s="44"/>
      <c r="H40" s="3"/>
      <c r="I40" s="3"/>
      <c r="J40" s="3"/>
      <c r="K40" s="89"/>
      <c r="L40" s="89"/>
      <c r="M40" s="3"/>
      <c r="N40" s="3"/>
      <c r="O40" s="3"/>
      <c r="P40" s="3"/>
      <c r="Q40" s="3"/>
      <c r="R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777">
        <f>O16+2*(S52+P51/12+Q55)</f>
        <v>534.86874999999998</v>
      </c>
      <c r="AH40" s="777"/>
      <c r="AI40" s="777"/>
      <c r="AJ40" s="240" t="s">
        <v>13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94"/>
      <c r="BG40" s="94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</row>
    <row r="41" spans="1:86" ht="16.5" customHeight="1">
      <c r="A41" s="92"/>
      <c r="B41" s="92"/>
      <c r="C41" s="92"/>
      <c r="D41" s="92"/>
      <c r="E41" s="94"/>
      <c r="F41" s="3"/>
      <c r="G41" s="7"/>
      <c r="H41" s="3"/>
      <c r="I41" s="3"/>
      <c r="J41" s="3"/>
      <c r="K41" s="89"/>
      <c r="L41" s="89"/>
      <c r="M41" s="3"/>
      <c r="N41" s="3"/>
      <c r="O41" s="3"/>
      <c r="P41" s="3"/>
      <c r="Q41" s="3"/>
      <c r="R41" s="89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94"/>
      <c r="BG41" s="94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</row>
    <row r="42" spans="1:86" ht="16.5" customHeight="1">
      <c r="A42" s="92"/>
      <c r="B42" s="92"/>
      <c r="C42" s="92"/>
      <c r="D42" s="92"/>
      <c r="E42" s="94"/>
      <c r="F42" s="3"/>
      <c r="G42" s="110"/>
      <c r="H42" s="111"/>
      <c r="I42" s="70"/>
      <c r="J42" s="72"/>
      <c r="K42" s="71"/>
      <c r="L42" s="71"/>
      <c r="M42" s="72"/>
      <c r="N42" s="72"/>
      <c r="O42" s="72"/>
      <c r="P42" s="72"/>
      <c r="Q42" s="72"/>
      <c r="R42" s="71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228"/>
      <c r="BC42" s="229"/>
      <c r="BD42" s="3"/>
      <c r="BE42" s="3"/>
      <c r="BF42" s="94"/>
      <c r="BG42" s="94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</row>
    <row r="43" spans="1:86" ht="16.5" customHeight="1">
      <c r="A43" s="92"/>
      <c r="B43" s="92"/>
      <c r="C43" s="92"/>
      <c r="D43" s="92"/>
      <c r="E43" s="94"/>
      <c r="F43" s="3"/>
      <c r="G43" s="110"/>
      <c r="H43" s="112"/>
      <c r="I43" s="74"/>
      <c r="J43" s="61"/>
      <c r="K43" s="61"/>
      <c r="L43" s="61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76">
        <f>C25</f>
        <v>128</v>
      </c>
      <c r="AB43" s="676"/>
      <c r="AC43" s="698" t="s">
        <v>45</v>
      </c>
      <c r="AD43" s="698"/>
      <c r="AE43" s="698"/>
      <c r="AF43" s="698"/>
      <c r="AG43" s="698"/>
      <c r="AH43" s="698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230"/>
      <c r="BC43" s="231"/>
      <c r="BD43" s="3"/>
      <c r="BE43" s="3"/>
      <c r="BF43" s="94"/>
      <c r="BG43" s="94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</row>
    <row r="44" spans="1:86" ht="16.5" customHeight="1">
      <c r="A44" s="92"/>
      <c r="B44" s="92"/>
      <c r="C44" s="92"/>
      <c r="D44" s="92"/>
      <c r="E44" s="94"/>
      <c r="F44" s="3"/>
      <c r="G44" s="110"/>
      <c r="H44" s="112"/>
      <c r="I44" s="74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76"/>
      <c r="AB44" s="676"/>
      <c r="AC44" s="698"/>
      <c r="AD44" s="698"/>
      <c r="AE44" s="698"/>
      <c r="AF44" s="698"/>
      <c r="AG44" s="698"/>
      <c r="AH44" s="698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230"/>
      <c r="BC44" s="231"/>
      <c r="BD44" s="3"/>
      <c r="BE44" s="3"/>
      <c r="BF44" s="94"/>
      <c r="BG44" s="94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</row>
    <row r="45" spans="1:86" ht="16.5" customHeight="1">
      <c r="A45" s="92"/>
      <c r="B45" s="92"/>
      <c r="C45" s="92"/>
      <c r="D45" s="92"/>
      <c r="E45" s="94"/>
      <c r="F45" s="3"/>
      <c r="G45" s="110"/>
      <c r="H45" s="112"/>
      <c r="I45" s="74"/>
      <c r="J45" s="61"/>
      <c r="K45" s="61"/>
      <c r="L45" s="61"/>
      <c r="M45" s="62"/>
      <c r="N45" s="62"/>
      <c r="O45" s="62"/>
      <c r="P45" s="62"/>
      <c r="Q45" s="62"/>
      <c r="R45" s="64"/>
      <c r="S45" s="64"/>
      <c r="T45" s="64"/>
      <c r="U45" s="65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6"/>
      <c r="AZ45" s="66"/>
      <c r="BA45" s="62"/>
      <c r="BB45" s="230"/>
      <c r="BC45" s="231"/>
      <c r="BD45" s="3"/>
      <c r="BE45" s="3"/>
      <c r="BF45" s="94"/>
      <c r="BG45" s="94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</row>
    <row r="46" spans="1:86" ht="16.5" customHeight="1">
      <c r="A46" s="92"/>
      <c r="B46" s="92"/>
      <c r="C46" s="92"/>
      <c r="D46" s="92"/>
      <c r="E46" s="94"/>
      <c r="F46" s="3"/>
      <c r="G46" s="110"/>
      <c r="H46" s="112"/>
      <c r="I46" s="74"/>
      <c r="J46" s="61"/>
      <c r="K46" s="61"/>
      <c r="L46" s="61"/>
      <c r="M46" s="62"/>
      <c r="N46" s="62"/>
      <c r="O46" s="62"/>
      <c r="P46" s="62"/>
      <c r="Q46" s="62"/>
      <c r="R46" s="680">
        <f>O14</f>
        <v>48.3</v>
      </c>
      <c r="S46" s="680"/>
      <c r="T46" s="101" t="s">
        <v>8</v>
      </c>
      <c r="U46" s="100" t="s">
        <v>46</v>
      </c>
      <c r="V46" s="99"/>
      <c r="W46" s="66"/>
      <c r="X46" s="66"/>
      <c r="Y46" s="66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735"/>
      <c r="AZ46" s="735"/>
      <c r="BA46" s="62"/>
      <c r="BB46" s="230"/>
      <c r="BC46" s="231"/>
      <c r="BD46" s="3"/>
      <c r="BE46" s="3"/>
      <c r="BF46" s="94"/>
      <c r="BG46" s="94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</row>
    <row r="47" spans="1:86" ht="16.5" customHeight="1">
      <c r="A47" s="92"/>
      <c r="B47" s="92"/>
      <c r="C47" s="92"/>
      <c r="D47" s="92"/>
      <c r="E47" s="94"/>
      <c r="F47" s="3"/>
      <c r="G47" s="110"/>
      <c r="H47" s="112"/>
      <c r="I47" s="74"/>
      <c r="J47" s="61"/>
      <c r="K47" s="61"/>
      <c r="L47" s="61"/>
      <c r="M47" s="68"/>
      <c r="N47" s="62"/>
      <c r="O47" s="62"/>
      <c r="P47" s="62"/>
      <c r="Q47" s="62"/>
      <c r="R47" s="64"/>
      <c r="S47" s="64"/>
      <c r="T47" s="64"/>
      <c r="U47" s="99"/>
      <c r="V47" s="99"/>
      <c r="W47" s="62"/>
      <c r="X47" s="62"/>
      <c r="Y47" s="168"/>
      <c r="Z47" s="171"/>
      <c r="AA47" s="171"/>
      <c r="AB47" s="171"/>
      <c r="AC47" s="171"/>
      <c r="AD47" s="171"/>
      <c r="AE47" s="171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230"/>
      <c r="BC47" s="231"/>
      <c r="BD47" s="3"/>
      <c r="BE47" s="3"/>
      <c r="BF47" s="94"/>
      <c r="BG47" s="94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</row>
    <row r="48" spans="1:86" ht="16.5" customHeight="1">
      <c r="A48" s="92"/>
      <c r="B48" s="92"/>
      <c r="C48" s="92"/>
      <c r="D48" s="92"/>
      <c r="E48" s="94"/>
      <c r="F48" s="3"/>
      <c r="G48" s="110"/>
      <c r="H48" s="112"/>
      <c r="I48" s="74"/>
      <c r="J48" s="61"/>
      <c r="K48" s="61"/>
      <c r="L48" s="764" t="str">
        <f>IF(C5=1,VLOOKUP(C13,Data!D106:P134,2),IF(C5=2,VLOOKUP(C15,Data!D13:P85,2),IF(C5=3,VLOOKUP(C17,Data!Q13:AC90,2),VLOOKUP(C19,Data!Q106:AC190,2))))</f>
        <v>30" x 30"</v>
      </c>
      <c r="M48" s="764"/>
      <c r="N48" s="764"/>
      <c r="O48" s="735" t="s">
        <v>154</v>
      </c>
      <c r="P48" s="735"/>
      <c r="Q48" s="735"/>
      <c r="R48" s="735"/>
      <c r="S48" s="224">
        <f>IF(C21=1,C8,ROUND(0.5*C8,0))</f>
        <v>2</v>
      </c>
      <c r="T48" s="224" t="s">
        <v>195</v>
      </c>
      <c r="U48" s="62"/>
      <c r="V48" s="168"/>
      <c r="W48" s="168"/>
      <c r="X48" s="168"/>
      <c r="Y48" s="171"/>
      <c r="Z48" s="171"/>
      <c r="AA48" s="171"/>
      <c r="AB48" s="171"/>
      <c r="AC48" s="171"/>
      <c r="AD48" s="171"/>
      <c r="AE48" s="171"/>
      <c r="AF48" s="62"/>
      <c r="AG48" s="62"/>
      <c r="AH48" s="62"/>
      <c r="AI48" s="62"/>
      <c r="AJ48" s="682" t="s">
        <v>156</v>
      </c>
      <c r="AK48" s="682"/>
      <c r="AL48" s="682"/>
      <c r="AM48" s="682"/>
      <c r="AN48" s="682"/>
      <c r="AO48" s="682"/>
      <c r="AP48" s="682"/>
      <c r="AQ48" s="682"/>
      <c r="AR48" s="682"/>
      <c r="AS48" s="682"/>
      <c r="AT48" s="683">
        <f>Y15*M19</f>
        <v>10429.940625000001</v>
      </c>
      <c r="AU48" s="683"/>
      <c r="AV48" s="683"/>
      <c r="AW48" s="69" t="s">
        <v>47</v>
      </c>
      <c r="AX48" s="62"/>
      <c r="AY48" s="62"/>
      <c r="AZ48" s="62"/>
      <c r="BA48" s="62"/>
      <c r="BB48" s="230"/>
      <c r="BC48" s="231"/>
      <c r="BD48" s="3"/>
      <c r="BE48" s="3"/>
      <c r="BF48" s="94"/>
      <c r="BG48" s="94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</row>
    <row r="49" spans="1:86" ht="16.5" customHeight="1">
      <c r="A49" s="92"/>
      <c r="B49" s="92"/>
      <c r="C49" s="92"/>
      <c r="D49" s="92"/>
      <c r="E49" s="94"/>
      <c r="F49" s="3"/>
      <c r="G49" s="110"/>
      <c r="H49" s="112"/>
      <c r="I49" s="74"/>
      <c r="J49" s="61"/>
      <c r="K49" s="61"/>
      <c r="L49" s="61"/>
      <c r="M49" s="173"/>
      <c r="N49" s="173"/>
      <c r="O49" s="173"/>
      <c r="P49" s="732" t="s">
        <v>72</v>
      </c>
      <c r="Q49" s="732"/>
      <c r="R49" s="732"/>
      <c r="S49" s="732" t="s">
        <v>73</v>
      </c>
      <c r="T49" s="732"/>
      <c r="U49" s="62"/>
      <c r="V49" s="168"/>
      <c r="W49" s="168"/>
      <c r="X49" s="66"/>
      <c r="Y49" s="66"/>
      <c r="Z49" s="168"/>
      <c r="AA49" s="168"/>
      <c r="AB49" s="168"/>
      <c r="AC49" s="168"/>
      <c r="AD49" s="168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172"/>
      <c r="AR49" s="172"/>
      <c r="AS49" s="172"/>
      <c r="AT49" s="172"/>
      <c r="AU49" s="172"/>
      <c r="AV49" s="172"/>
      <c r="AW49" s="172"/>
      <c r="AX49" s="62"/>
      <c r="AY49" s="62"/>
      <c r="AZ49" s="62"/>
      <c r="BA49" s="62"/>
      <c r="BB49" s="230"/>
      <c r="BC49" s="231"/>
      <c r="BD49" s="3"/>
      <c r="BE49" s="3"/>
      <c r="BF49" s="94"/>
      <c r="BG49" s="94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</row>
    <row r="50" spans="1:86" ht="16.5" customHeight="1">
      <c r="A50" s="92"/>
      <c r="B50" s="92"/>
      <c r="C50" s="92"/>
      <c r="D50" s="92"/>
      <c r="E50" s="778">
        <f>IF(C5=1,(Y13*L10+(Y13-1)*Y14-L10+VLOOKUP(C13,Data!D106:P134,10))/12,IF(C5=2,(Y13*L10+(Y13-1)*Y14-L10+VLOOKUP(C15,Data!D13:P85,10))/12,IF(C5=3,(Y13*L10+(Y13-1)*Y14-L10+VLOOKUP(C17,Data!Q13:AC90,10))/12,(Y13*L10+(Y13-1)*Y14-L10+VLOOKUP(C19,Data!Q106:AC190,10))/12)))</f>
        <v>12.032499999999999</v>
      </c>
      <c r="F50" s="778"/>
      <c r="G50" s="778"/>
      <c r="H50" s="239" t="s">
        <v>13</v>
      </c>
      <c r="I50" s="74"/>
      <c r="J50" s="61"/>
      <c r="K50" s="61"/>
      <c r="L50" s="220" t="s">
        <v>152</v>
      </c>
      <c r="M50" s="218"/>
      <c r="N50" s="218"/>
      <c r="O50" s="170"/>
      <c r="P50" s="730">
        <f>IF(C5=1,VLOOKUP(C13,Data!D106:P134,5),IF(C5=2,VLOOKUP(C15,Data!D13:P85,5),IF(C5=3,VLOOKUP(C17,Data!Q13:AC90,5),VLOOKUP(C19,Data!Q106:AC190,5))))</f>
        <v>30</v>
      </c>
      <c r="Q50" s="730"/>
      <c r="R50" s="219"/>
      <c r="S50" s="730">
        <f>IF(C5=1,VLOOKUP(C13,Data!D106:P134,6),IF(C5=2,VLOOKUP(C15,Data!D13:P85,6),IF(C5=3,VLOOKUP(C17,Data!Q13:AC90,6),VLOOKUP(C19,Data!Q106:AC190,6))))</f>
        <v>30</v>
      </c>
      <c r="T50" s="730"/>
      <c r="U50" s="218"/>
      <c r="V50" s="168"/>
      <c r="W50" s="168"/>
      <c r="X50" s="168"/>
      <c r="Y50" s="168"/>
      <c r="Z50" s="168"/>
      <c r="AA50" s="168"/>
      <c r="AB50" s="168"/>
      <c r="AC50" s="168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173"/>
      <c r="BC50" s="232"/>
      <c r="BD50" s="779">
        <f>(Y13*L10+(Y13-1)*Y14)/12</f>
        <v>17.5</v>
      </c>
      <c r="BE50" s="778"/>
      <c r="BF50" s="236" t="s">
        <v>13</v>
      </c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</row>
    <row r="51" spans="1:86" ht="16.5" customHeight="1">
      <c r="A51" s="92"/>
      <c r="B51" s="92"/>
      <c r="C51" s="92"/>
      <c r="D51" s="92"/>
      <c r="E51" s="94"/>
      <c r="F51" s="3"/>
      <c r="G51" s="110"/>
      <c r="H51" s="112"/>
      <c r="I51" s="74"/>
      <c r="J51" s="61"/>
      <c r="K51" s="61"/>
      <c r="L51" s="221" t="s">
        <v>153</v>
      </c>
      <c r="M51" s="62"/>
      <c r="N51" s="62"/>
      <c r="O51" s="173"/>
      <c r="P51" s="731">
        <f>IF(C5=1,VLOOKUP(C13,Data!D106:P134,9),IF(C5=2,VLOOKUP(C15,Data!D13:P85,9),IF(C5=3,VLOOKUP(C17,Data!Q13:AC90,9),VLOOKUP(C19,Data!Q106:AC190,9))))</f>
        <v>34.89</v>
      </c>
      <c r="Q51" s="731"/>
      <c r="R51" s="175"/>
      <c r="S51" s="731">
        <f>IF(C5=1,VLOOKUP(C13,Data!D106:P134,10),IF(C5=2,VLOOKUP(C15,Data!D13:P85,10),IF(C5=3,VLOOKUP(C17,Data!Q13:AC90,10),VLOOKUP(C19,Data!Q106:AC190,10))))</f>
        <v>34.89</v>
      </c>
      <c r="T51" s="731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82">
        <f>C8</f>
        <v>2</v>
      </c>
      <c r="AH51" s="682"/>
      <c r="AI51" s="63" t="s">
        <v>48</v>
      </c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230"/>
      <c r="BC51" s="231"/>
      <c r="BD51" s="3"/>
      <c r="BE51" s="3"/>
      <c r="BF51" s="94"/>
      <c r="BG51" s="94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</row>
    <row r="52" spans="1:86" ht="16.5" customHeight="1">
      <c r="A52" s="92"/>
      <c r="B52" s="92"/>
      <c r="C52" s="92"/>
      <c r="D52" s="92"/>
      <c r="E52" s="94"/>
      <c r="F52" s="3"/>
      <c r="G52" s="110"/>
      <c r="H52" s="112"/>
      <c r="I52" s="74"/>
      <c r="J52" s="61"/>
      <c r="K52" s="61"/>
      <c r="L52" s="221" t="s">
        <v>151</v>
      </c>
      <c r="M52" s="62"/>
      <c r="N52" s="62"/>
      <c r="O52" s="173"/>
      <c r="P52" s="731">
        <f>E50</f>
        <v>12.032499999999999</v>
      </c>
      <c r="Q52" s="731"/>
      <c r="R52" s="175"/>
      <c r="S52" s="731">
        <f>IF(C5=1,VLOOKUP(C13,Data!D106:P134,4)/12-1,IF(C5=2,VLOOKUP(C15,Data!D13:P85,4)/12-1,IF(C5=3,VLOOKUP(C17,Data!Q13:AC90,4)/12-1,VLOOKUP(C19,Data!Q106:AC190,4)/12-1)))</f>
        <v>3</v>
      </c>
      <c r="T52" s="731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173"/>
      <c r="BC52" s="233"/>
      <c r="BD52" s="778">
        <f>(Y13*L10+(Y13-1)*Y14+2*K33)/12</f>
        <v>19.5</v>
      </c>
      <c r="BE52" s="778"/>
      <c r="BF52" s="778"/>
      <c r="BG52" s="237" t="s">
        <v>13</v>
      </c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</row>
    <row r="53" spans="1:86" ht="16.5" customHeight="1">
      <c r="A53" s="92"/>
      <c r="B53" s="92"/>
      <c r="C53" s="92"/>
      <c r="D53" s="92"/>
      <c r="E53" s="94"/>
      <c r="F53" s="3"/>
      <c r="G53" s="110"/>
      <c r="H53" s="112"/>
      <c r="I53" s="74"/>
      <c r="J53" s="61"/>
      <c r="K53" s="61"/>
      <c r="L53" s="222" t="s">
        <v>157</v>
      </c>
      <c r="M53" s="173"/>
      <c r="N53" s="173"/>
      <c r="O53" s="173"/>
      <c r="P53" s="733">
        <f>IF(C5=1,VLOOKUP(C13,Data!D106:P134,7),IF(C5=2,VLOOKUP(C15,Data!D13:P85,7),IF(C5=3,VLOOKUP(C17,Data!Q13:AC90,7),VLOOKUP(C19,Data!Q106:AC190,7))))*P52</f>
        <v>59.064396256748722</v>
      </c>
      <c r="Q53" s="733"/>
      <c r="R53" s="175"/>
      <c r="S53" s="733">
        <f>IF(C5=1,VLOOKUP(C13,Data!D106:P134,8),IF(C5=2,VLOOKUP(C15,Data!D13:P85,8),IF(C5=3,VLOOKUP(C17,Data!Q13:AC90,8),VLOOKUP(C19,Data!Q106:AC190,8))))*S52</f>
        <v>14.726215563702155</v>
      </c>
      <c r="T53" s="733"/>
      <c r="U53" s="173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230"/>
      <c r="BC53" s="231"/>
      <c r="BD53" s="3"/>
      <c r="BE53" s="3"/>
      <c r="BF53" s="94"/>
      <c r="BG53" s="94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</row>
    <row r="54" spans="1:86" ht="16.5" customHeight="1">
      <c r="A54" s="92"/>
      <c r="B54" s="92"/>
      <c r="C54" s="92"/>
      <c r="D54" s="92"/>
      <c r="E54" s="94"/>
      <c r="F54" s="3"/>
      <c r="G54" s="110"/>
      <c r="H54" s="112"/>
      <c r="I54" s="74"/>
      <c r="J54" s="61"/>
      <c r="K54" s="61"/>
      <c r="L54" s="223" t="s">
        <v>158</v>
      </c>
      <c r="M54" s="174"/>
      <c r="N54" s="174"/>
      <c r="O54" s="174"/>
      <c r="P54" s="734">
        <f>IF(C5=1,VLOOKUP(C13,Data!D106:P134,11),IF(C5=2,VLOOKUP(C15,Data!D13:P85,11),IF(C5=3,VLOOKUP(C17,Data!Q13:AC90,11),VLOOKUP(C19,Data!Q106:AC190,11))))*P52</f>
        <v>79.888671380594388</v>
      </c>
      <c r="Q54" s="734"/>
      <c r="R54" s="176"/>
      <c r="S54" s="734">
        <f>IF(C5=1,VLOOKUP(C13,Data!D106:P134,12),IF(C5=2,VLOOKUP(C15,Data!D13:P85,12),IF(C5=3,VLOOKUP(C17,Data!Q13:AC90,12),VLOOKUP(C19,Data!Q106:AC190,12))))*S52</f>
        <v>19.918222658781065</v>
      </c>
      <c r="T54" s="734"/>
      <c r="U54" s="174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230"/>
      <c r="BC54" s="231"/>
      <c r="BD54" s="3"/>
      <c r="BE54" s="3"/>
      <c r="BF54" s="94"/>
      <c r="BG54" s="94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</row>
    <row r="55" spans="1:86" ht="16.5" customHeight="1">
      <c r="A55" s="92"/>
      <c r="B55" s="92"/>
      <c r="C55" s="92"/>
      <c r="D55" s="92"/>
      <c r="E55" s="94"/>
      <c r="F55" s="3"/>
      <c r="G55" s="110"/>
      <c r="H55" s="112"/>
      <c r="I55" s="74"/>
      <c r="J55" s="61"/>
      <c r="K55" s="61"/>
      <c r="L55" s="183" t="s">
        <v>167</v>
      </c>
      <c r="M55" s="183"/>
      <c r="N55" s="183"/>
      <c r="O55" s="183"/>
      <c r="P55" s="183"/>
      <c r="Q55" s="768">
        <f>IF(C5=1,VLOOKUP(C13,Data!D106:P134,13),IF(C5=2,VLOOKUP(C15,Data!D13:P85,13),IF(C5=3,VLOOKUP(C17,Data!Q13:AC90,13),VLOOKUP(C19,Data!Q106:AC190,13))))</f>
        <v>1.2268750000000004</v>
      </c>
      <c r="R55" s="768"/>
      <c r="S55" s="169" t="s">
        <v>13</v>
      </c>
      <c r="T55" s="168"/>
      <c r="U55" s="168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230"/>
      <c r="BC55" s="231"/>
      <c r="BD55" s="3"/>
      <c r="BE55" s="3"/>
      <c r="BF55" s="94"/>
      <c r="BG55" s="94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</row>
    <row r="56" spans="1:86" ht="16.5" customHeight="1">
      <c r="A56" s="92"/>
      <c r="B56" s="92"/>
      <c r="C56" s="92"/>
      <c r="D56" s="92"/>
      <c r="E56" s="94"/>
      <c r="F56" s="3"/>
      <c r="G56" s="110"/>
      <c r="H56" s="112"/>
      <c r="I56" s="74"/>
      <c r="J56" s="61"/>
      <c r="K56" s="61"/>
      <c r="L56" s="184" t="s">
        <v>168</v>
      </c>
      <c r="M56" s="184"/>
      <c r="N56" s="184"/>
      <c r="O56" s="184"/>
      <c r="P56" s="184"/>
      <c r="Q56" s="769">
        <f>IF(C5=1,VLOOKUP(C13,Data!D106:P134,3),IF(C5=2,VLOOKUP(C15,Data!D13:P85,3),IF(C5=3,VLOOKUP(C17,Data!Q13:AC90,3),VLOOKUP(C19,Data!Q106:AC190,3))))/12-1</f>
        <v>5.9074999999999998</v>
      </c>
      <c r="R56" s="769"/>
      <c r="S56" s="62" t="s">
        <v>13</v>
      </c>
      <c r="T56" s="168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82">
        <f>VLOOKUP($C$5,Data!$B$4:$L$7,5)</f>
        <v>32.4</v>
      </c>
      <c r="AW56" s="682"/>
      <c r="AX56" s="682"/>
      <c r="AY56" s="69" t="s">
        <v>8</v>
      </c>
      <c r="AZ56" s="67" t="s">
        <v>46</v>
      </c>
      <c r="BA56" s="62"/>
      <c r="BB56" s="230"/>
      <c r="BC56" s="231"/>
      <c r="BD56" s="3"/>
      <c r="BE56" s="3"/>
      <c r="BF56" s="94"/>
      <c r="BG56" s="94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</row>
    <row r="57" spans="1:86" ht="16.5" customHeight="1">
      <c r="A57" s="92"/>
      <c r="B57" s="92"/>
      <c r="C57" s="92"/>
      <c r="D57" s="92"/>
      <c r="E57" s="94"/>
      <c r="F57" s="3"/>
      <c r="G57" s="110"/>
      <c r="H57" s="112"/>
      <c r="I57" s="74"/>
      <c r="J57" s="61"/>
      <c r="K57" s="61"/>
      <c r="L57" s="61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230"/>
      <c r="BC57" s="231"/>
      <c r="BD57" s="3"/>
      <c r="BE57" s="3"/>
      <c r="BF57" s="94"/>
      <c r="BG57" s="94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</row>
    <row r="58" spans="1:86" ht="16.5" customHeight="1">
      <c r="A58" s="92"/>
      <c r="B58" s="92"/>
      <c r="C58" s="92"/>
      <c r="D58" s="92"/>
      <c r="E58" s="94"/>
      <c r="F58" s="3"/>
      <c r="G58" s="110"/>
      <c r="H58" s="112"/>
      <c r="I58" s="74"/>
      <c r="J58" s="61"/>
      <c r="K58" s="61"/>
      <c r="L58" s="61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76">
        <f>C25</f>
        <v>128</v>
      </c>
      <c r="AB58" s="676"/>
      <c r="AC58" s="677" t="s">
        <v>45</v>
      </c>
      <c r="AD58" s="677"/>
      <c r="AE58" s="677"/>
      <c r="AF58" s="677"/>
      <c r="AG58" s="677"/>
      <c r="AH58" s="677"/>
      <c r="AI58" s="677"/>
      <c r="AJ58" s="677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230"/>
      <c r="BC58" s="231"/>
      <c r="BD58" s="3"/>
      <c r="BE58" s="3"/>
      <c r="BF58" s="94"/>
      <c r="BG58" s="94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</row>
    <row r="59" spans="1:86" ht="16.5" customHeight="1">
      <c r="A59" s="92"/>
      <c r="B59" s="92"/>
      <c r="C59" s="92"/>
      <c r="D59" s="92"/>
      <c r="E59" s="94"/>
      <c r="F59" s="3"/>
      <c r="G59" s="110"/>
      <c r="H59" s="112"/>
      <c r="I59" s="74"/>
      <c r="J59" s="61"/>
      <c r="K59" s="61"/>
      <c r="L59" s="61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76"/>
      <c r="AB59" s="676"/>
      <c r="AC59" s="677"/>
      <c r="AD59" s="677"/>
      <c r="AE59" s="677"/>
      <c r="AF59" s="677"/>
      <c r="AG59" s="677"/>
      <c r="AH59" s="677"/>
      <c r="AI59" s="677"/>
      <c r="AJ59" s="677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230"/>
      <c r="BC59" s="231"/>
      <c r="BD59" s="3"/>
      <c r="BE59" s="3"/>
      <c r="BF59" s="94"/>
      <c r="BG59" s="94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</row>
    <row r="60" spans="1:86" ht="16.5" customHeight="1">
      <c r="A60" s="92"/>
      <c r="B60" s="92"/>
      <c r="C60" s="92"/>
      <c r="D60" s="92"/>
      <c r="E60" s="94"/>
      <c r="F60" s="3"/>
      <c r="G60" s="110"/>
      <c r="H60" s="111"/>
      <c r="I60" s="76"/>
      <c r="J60" s="78"/>
      <c r="K60" s="77"/>
      <c r="L60" s="77"/>
      <c r="M60" s="78"/>
      <c r="N60" s="78"/>
      <c r="O60" s="78"/>
      <c r="P60" s="79"/>
      <c r="Q60" s="78"/>
      <c r="R60" s="78"/>
      <c r="S60" s="80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234"/>
      <c r="BC60" s="235"/>
      <c r="BD60" s="3"/>
      <c r="BE60" s="3"/>
      <c r="BF60" s="94"/>
      <c r="BG60" s="94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</row>
    <row r="61" spans="1:86" ht="16.5" customHeight="1">
      <c r="A61" s="92"/>
      <c r="B61" s="92"/>
      <c r="C61" s="92"/>
      <c r="D61" s="92"/>
      <c r="E61" s="94"/>
      <c r="F61" s="3"/>
      <c r="G61" s="3"/>
      <c r="H61" s="3"/>
      <c r="I61" s="765" t="s">
        <v>165</v>
      </c>
      <c r="J61" s="767" t="s">
        <v>166</v>
      </c>
      <c r="K61" s="89"/>
      <c r="L61" s="89"/>
      <c r="M61" s="3"/>
      <c r="N61" s="3"/>
      <c r="O61" s="26"/>
      <c r="P61" s="95">
        <f>K33</f>
        <v>12</v>
      </c>
      <c r="Q61" s="26" t="s">
        <v>8</v>
      </c>
      <c r="R61" s="58" t="s">
        <v>46</v>
      </c>
      <c r="S61" s="58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94"/>
      <c r="BG61" s="94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</row>
    <row r="62" spans="1:86" ht="16.5" customHeight="1">
      <c r="A62" s="92"/>
      <c r="B62" s="92"/>
      <c r="C62" s="92"/>
      <c r="D62" s="92"/>
      <c r="E62" s="94"/>
      <c r="F62" s="3"/>
      <c r="G62" s="3"/>
      <c r="H62" s="3"/>
      <c r="I62" s="766"/>
      <c r="J62" s="721"/>
      <c r="K62" s="89"/>
      <c r="L62" s="89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776">
        <f>(C25*O14+2*O15)/12</f>
        <v>520.6</v>
      </c>
      <c r="AA62" s="776"/>
      <c r="AB62" s="776"/>
      <c r="AC62" s="238" t="s">
        <v>13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94"/>
      <c r="BG62" s="94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</row>
    <row r="63" spans="1:86" ht="16.5" customHeight="1">
      <c r="A63" s="92"/>
      <c r="B63" s="92"/>
      <c r="C63" s="92"/>
      <c r="D63" s="92"/>
      <c r="E63" s="94"/>
      <c r="F63" s="3"/>
      <c r="G63" s="3"/>
      <c r="H63" s="3"/>
      <c r="I63" s="775" t="s">
        <v>46</v>
      </c>
      <c r="J63" s="775"/>
      <c r="K63" s="195"/>
      <c r="L63" s="89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94"/>
      <c r="BG63" s="94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</row>
    <row r="64" spans="1:86" ht="16.5" customHeight="1">
      <c r="A64" s="92"/>
      <c r="B64" s="92"/>
      <c r="C64" s="92"/>
      <c r="D64" s="92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</row>
    <row r="65" spans="1:86" ht="16.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</row>
    <row r="66" spans="1:86" ht="16.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</row>
    <row r="67" spans="1:86" ht="16.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</row>
    <row r="68" spans="1:86" ht="16.5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</row>
    <row r="69" spans="1:86" ht="16.5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</row>
    <row r="70" spans="1:86" ht="16.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</row>
    <row r="71" spans="1:86" ht="16.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</row>
    <row r="72" spans="1:86" ht="16.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</row>
    <row r="73" spans="1:86" ht="16.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</row>
    <row r="74" spans="1:86" ht="16.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</row>
    <row r="75" spans="1:86" ht="16.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</row>
    <row r="76" spans="1:86" ht="16.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</row>
    <row r="77" spans="1:86" ht="16.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</row>
    <row r="78" spans="1:86" ht="16.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</row>
    <row r="79" spans="1:86" ht="16.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</row>
    <row r="80" spans="1:86" ht="16.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</row>
    <row r="81" spans="1:86" ht="16.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</row>
    <row r="82" spans="1:86" ht="16.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</row>
    <row r="83" spans="1:86" ht="16.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</row>
    <row r="84" spans="1:86" ht="16.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</row>
    <row r="85" spans="1:86" ht="16.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</row>
    <row r="86" spans="1:86" ht="16.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</row>
    <row r="87" spans="1:86" ht="16.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</row>
    <row r="88" spans="1:86" ht="16.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</row>
    <row r="89" spans="1:86" ht="16.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</row>
    <row r="90" spans="1:86" ht="16.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</row>
    <row r="91" spans="1:86" ht="16.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</row>
    <row r="92" spans="1:86" ht="16.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</row>
    <row r="93" spans="1:86" ht="16.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</row>
    <row r="94" spans="1:86" ht="16.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</row>
    <row r="95" spans="1:86" ht="16.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</row>
    <row r="96" spans="1:86" ht="16.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</row>
    <row r="97" spans="1:86" ht="16.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</row>
    <row r="98" spans="1:86" ht="16.5" customHeight="1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</row>
    <row r="99" spans="1:86" ht="16.5" hidden="1" customHeight="1"/>
    <row r="100" spans="1:86" ht="16.5" hidden="1" customHeight="1"/>
    <row r="101" spans="1:86" ht="16.5" hidden="1" customHeight="1"/>
    <row r="102" spans="1:86" ht="16.5" hidden="1" customHeight="1"/>
    <row r="103" spans="1:86" ht="16.5" hidden="1" customHeight="1"/>
    <row r="104" spans="1:86" ht="16.5" hidden="1" customHeight="1"/>
    <row r="105" spans="1:86" ht="16.5" hidden="1" customHeight="1"/>
    <row r="106" spans="1:86" ht="16.5" hidden="1" customHeight="1"/>
    <row r="107" spans="1:86" ht="16.5" hidden="1" customHeight="1"/>
    <row r="108" spans="1:86" ht="16.5" hidden="1" customHeight="1"/>
    <row r="109" spans="1:86" ht="16.5" hidden="1" customHeight="1"/>
    <row r="110" spans="1:86" ht="16.5" hidden="1" customHeight="1"/>
    <row r="111" spans="1:86" ht="16.5" hidden="1" customHeight="1"/>
    <row r="112" spans="1:86" ht="16.5" hidden="1" customHeight="1"/>
    <row r="113" ht="16.5" hidden="1" customHeight="1"/>
    <row r="114" ht="16.5" hidden="1" customHeight="1"/>
    <row r="115" ht="16.5" hidden="1" customHeight="1"/>
    <row r="116" ht="16.5" hidden="1" customHeight="1"/>
    <row r="117" ht="16.5" hidden="1" customHeight="1"/>
    <row r="118" ht="16.5" hidden="1" customHeight="1"/>
    <row r="119" ht="16.5" hidden="1" customHeight="1"/>
    <row r="120" ht="16.5" hidden="1" customHeight="1"/>
    <row r="121" ht="16.5" hidden="1" customHeight="1"/>
    <row r="122" ht="16.5" hidden="1" customHeight="1"/>
    <row r="123" ht="16.5" hidden="1" customHeight="1"/>
    <row r="124" ht="16.5" hidden="1" customHeight="1"/>
    <row r="125" ht="16.5" hidden="1" customHeight="1"/>
    <row r="126" ht="16.5" hidden="1" customHeight="1"/>
    <row r="127" ht="16.5" hidden="1" customHeight="1"/>
    <row r="128" ht="16.5" hidden="1" customHeight="1"/>
    <row r="129" ht="16.5" hidden="1" customHeight="1"/>
    <row r="130" ht="16.5" hidden="1" customHeight="1"/>
    <row r="131" ht="16.5" hidden="1" customHeight="1"/>
    <row r="132" ht="16.5" hidden="1" customHeight="1"/>
    <row r="133" ht="16.5" hidden="1" customHeight="1"/>
    <row r="134" ht="16.5" hidden="1" customHeight="1"/>
    <row r="135" ht="16.5" hidden="1" customHeight="1"/>
    <row r="136" ht="16.5" hidden="1" customHeight="1"/>
    <row r="137" ht="16.5" hidden="1" customHeight="1"/>
    <row r="138" ht="16.5" hidden="1" customHeight="1"/>
    <row r="139" ht="16.5" hidden="1" customHeight="1"/>
    <row r="140" ht="16.5" hidden="1" customHeight="1"/>
    <row r="141" ht="16.5" hidden="1" customHeight="1"/>
    <row r="142" ht="16.5" hidden="1" customHeight="1"/>
    <row r="143" ht="16.5" hidden="1" customHeight="1"/>
    <row r="144" ht="16.5" hidden="1" customHeight="1"/>
    <row r="145" ht="16.5" hidden="1" customHeight="1"/>
    <row r="146" ht="16.5" hidden="1" customHeight="1"/>
    <row r="147" ht="16.5" hidden="1" customHeight="1"/>
    <row r="148" ht="16.5" hidden="1" customHeight="1"/>
    <row r="149" ht="16.5" hidden="1" customHeight="1"/>
    <row r="150" ht="16.5" hidden="1" customHeight="1"/>
    <row r="151" ht="16.5" hidden="1" customHeight="1"/>
    <row r="152" ht="16.5" hidden="1" customHeight="1"/>
    <row r="153" ht="16.5" hidden="1" customHeight="1"/>
    <row r="154" ht="16.5" hidden="1" customHeight="1"/>
    <row r="155" ht="16.5" hidden="1" customHeight="1"/>
    <row r="156" ht="16.5" hidden="1" customHeight="1"/>
    <row r="157" ht="16.5" hidden="1" customHeight="1"/>
    <row r="158" ht="16.5" hidden="1" customHeight="1"/>
    <row r="159" ht="16.5" hidden="1" customHeight="1"/>
    <row r="160" ht="16.5" hidden="1" customHeight="1"/>
    <row r="161" ht="16.5" hidden="1" customHeight="1"/>
    <row r="162" ht="16.5" hidden="1" customHeight="1"/>
    <row r="163" ht="16.5" hidden="1" customHeight="1"/>
    <row r="164" ht="16.5" hidden="1" customHeight="1"/>
    <row r="165" ht="16.5" hidden="1" customHeight="1"/>
    <row r="166" ht="16.5" hidden="1" customHeight="1"/>
    <row r="167" ht="16.5" hidden="1" customHeight="1"/>
    <row r="168" ht="16.5" hidden="1" customHeight="1"/>
    <row r="169" ht="16.5" hidden="1" customHeight="1"/>
    <row r="170" ht="16.5" hidden="1" customHeight="1"/>
    <row r="171" ht="16.5" hidden="1" customHeight="1"/>
    <row r="172" ht="16.5" hidden="1" customHeight="1"/>
    <row r="173" ht="16.5" hidden="1" customHeight="1"/>
    <row r="174" ht="16.5" hidden="1" customHeight="1"/>
    <row r="175" ht="16.5" hidden="1" customHeight="1"/>
    <row r="176" ht="16.5" hidden="1" customHeight="1"/>
    <row r="177" ht="16.5" hidden="1" customHeight="1"/>
    <row r="178" ht="16.5" hidden="1" customHeight="1"/>
    <row r="179" ht="16.5" hidden="1" customHeight="1"/>
    <row r="180" ht="16.5" hidden="1" customHeight="1"/>
    <row r="181" ht="16.5" hidden="1" customHeight="1"/>
    <row r="182" ht="16.5" hidden="1" customHeight="1"/>
    <row r="183" ht="16.5" hidden="1" customHeight="1"/>
    <row r="184" ht="16.5" hidden="1" customHeight="1"/>
    <row r="185" ht="16.5" hidden="1" customHeight="1"/>
    <row r="186" ht="16.5" hidden="1" customHeight="1"/>
    <row r="187" ht="16.5" hidden="1" customHeight="1"/>
    <row r="188" ht="16.5" hidden="1" customHeight="1"/>
    <row r="189" ht="16.5" hidden="1" customHeight="1"/>
    <row r="190" ht="16.5" hidden="1" customHeight="1"/>
    <row r="191" ht="16.5" hidden="1" customHeight="1"/>
    <row r="192" ht="16.5" hidden="1" customHeight="1"/>
    <row r="193" ht="16.5" hidden="1" customHeight="1"/>
    <row r="194" ht="16.5" hidden="1" customHeight="1"/>
    <row r="195" ht="16.5" hidden="1" customHeight="1"/>
    <row r="196" ht="16.5" hidden="1" customHeight="1"/>
    <row r="197" ht="16.5" hidden="1" customHeight="1"/>
    <row r="198" ht="16.5" hidden="1" customHeight="1"/>
    <row r="199" ht="16.5" hidden="1" customHeight="1"/>
    <row r="200" ht="16.5" hidden="1" customHeight="1"/>
    <row r="201" ht="16.5" hidden="1" customHeight="1"/>
    <row r="202" ht="16.5" hidden="1" customHeight="1"/>
    <row r="203" ht="16.5" hidden="1" customHeight="1"/>
    <row r="204" ht="16.5" hidden="1" customHeight="1"/>
    <row r="205" ht="16.5" hidden="1" customHeight="1"/>
    <row r="206" ht="16.5" hidden="1" customHeight="1"/>
    <row r="207" ht="16.5" hidden="1" customHeight="1"/>
    <row r="208" ht="16.5" hidden="1" customHeight="1"/>
    <row r="209" ht="16.5" hidden="1" customHeight="1"/>
    <row r="210" ht="16.5" hidden="1" customHeight="1"/>
    <row r="211" ht="16.5" hidden="1" customHeight="1"/>
    <row r="212" ht="16.5" hidden="1" customHeight="1"/>
    <row r="213" ht="16.5" hidden="1" customHeight="1"/>
    <row r="214" ht="16.5" hidden="1" customHeight="1"/>
    <row r="215" ht="16.5" hidden="1" customHeight="1"/>
    <row r="216" ht="16.5" hidden="1" customHeight="1"/>
    <row r="217" ht="16.5" hidden="1" customHeight="1"/>
    <row r="218" ht="16.5" hidden="1" customHeight="1"/>
    <row r="219" ht="16.5" hidden="1" customHeight="1"/>
    <row r="220" ht="16.5" hidden="1" customHeight="1"/>
    <row r="221" ht="16.5" hidden="1" customHeight="1"/>
    <row r="222" ht="16.5" hidden="1" customHeight="1"/>
    <row r="223" ht="16.5" hidden="1" customHeight="1"/>
    <row r="224" ht="16.5" hidden="1" customHeight="1"/>
    <row r="225" ht="16.5" hidden="1" customHeight="1"/>
    <row r="226" ht="16.5" hidden="1" customHeight="1"/>
    <row r="227" ht="16.5" hidden="1" customHeight="1"/>
    <row r="228" ht="16.5" hidden="1" customHeight="1"/>
    <row r="229" ht="16.5" hidden="1" customHeight="1"/>
    <row r="230" ht="16.5" hidden="1" customHeight="1"/>
    <row r="231" ht="16.5" hidden="1" customHeight="1"/>
    <row r="232" ht="16.5" hidden="1" customHeight="1"/>
    <row r="233" ht="16.5" hidden="1" customHeight="1"/>
    <row r="234" ht="16.5" hidden="1" customHeight="1"/>
    <row r="235" ht="16.5" hidden="1" customHeight="1"/>
    <row r="236" ht="16.5" hidden="1" customHeight="1"/>
    <row r="237" ht="16.5" hidden="1" customHeight="1"/>
    <row r="238" ht="16.5" hidden="1" customHeight="1"/>
    <row r="239" ht="16.5" hidden="1" customHeight="1"/>
    <row r="240" ht="16.5" hidden="1" customHeight="1"/>
    <row r="241" ht="16.5" hidden="1" customHeight="1"/>
    <row r="242" ht="16.5" hidden="1" customHeight="1"/>
    <row r="243" ht="16.5" hidden="1" customHeight="1"/>
    <row r="244" ht="16.5" hidden="1" customHeight="1"/>
    <row r="245" ht="16.5" hidden="1" customHeight="1"/>
    <row r="246" ht="16.5" hidden="1" customHeight="1"/>
    <row r="247" ht="16.5" hidden="1" customHeight="1"/>
    <row r="248" ht="16.5" hidden="1" customHeight="1"/>
    <row r="249" ht="16.5" hidden="1" customHeight="1"/>
    <row r="250" ht="16.5" hidden="1" customHeight="1"/>
    <row r="251" ht="16.5" hidden="1" customHeight="1"/>
    <row r="252" ht="16.5" hidden="1" customHeight="1"/>
    <row r="253" ht="16.5" hidden="1" customHeight="1"/>
    <row r="254" ht="16.5" hidden="1" customHeight="1"/>
    <row r="255" ht="16.5" hidden="1" customHeight="1"/>
    <row r="256" ht="16.5" hidden="1" customHeight="1"/>
    <row r="257" ht="16.5" hidden="1" customHeight="1"/>
    <row r="258" ht="16.5" hidden="1" customHeight="1"/>
    <row r="259" ht="16.5" hidden="1" customHeight="1"/>
    <row r="260" ht="16.5" hidden="1" customHeight="1"/>
    <row r="261" ht="16.5" hidden="1" customHeight="1"/>
    <row r="262" ht="16.5" hidden="1" customHeight="1"/>
    <row r="263" ht="16.5" hidden="1" customHeight="1"/>
    <row r="264" ht="16.5" hidden="1" customHeight="1"/>
    <row r="265" ht="16.5" hidden="1" customHeight="1"/>
    <row r="266" ht="16.5" hidden="1" customHeight="1"/>
    <row r="267" ht="16.5" hidden="1" customHeight="1"/>
    <row r="268" ht="16.5" hidden="1" customHeight="1"/>
    <row r="269" ht="16.5" hidden="1" customHeight="1"/>
    <row r="270" ht="16.5" hidden="1" customHeight="1"/>
    <row r="271" ht="16.5" hidden="1" customHeight="1"/>
    <row r="272" ht="16.5" hidden="1" customHeight="1"/>
    <row r="273" ht="16.5" hidden="1" customHeight="1"/>
    <row r="274" ht="16.5" hidden="1" customHeight="1"/>
    <row r="275" ht="16.5" hidden="1" customHeight="1"/>
    <row r="276" ht="16.5" hidden="1" customHeight="1"/>
    <row r="277" ht="16.5" hidden="1" customHeight="1"/>
    <row r="278" ht="16.5" hidden="1" customHeight="1"/>
    <row r="279" ht="16.5" hidden="1" customHeight="1"/>
    <row r="280" ht="16.5" hidden="1" customHeight="1"/>
    <row r="281" ht="16.5" hidden="1" customHeight="1"/>
  </sheetData>
  <sheetProtection algorithmName="SHA-512" hashValue="TFrWld2kw5s34EVbP+vZsgBaecM1TU8og+7ZGtNgHRfGSirkk5wNm8Gy6r1O/2/6Nbj8EE33d3Zh6OjQsyC+yQ==" saltValue="d4pX8WU4hxTuT21u1zyWbw==" spinCount="100000" sheet="1" objects="1" scenarios="1" selectLockedCells="1"/>
  <mergeCells count="125">
    <mergeCell ref="A5:B5"/>
    <mergeCell ref="A9:D9"/>
    <mergeCell ref="A15:B15"/>
    <mergeCell ref="A17:B17"/>
    <mergeCell ref="Z8:AA8"/>
    <mergeCell ref="AS8:BD8"/>
    <mergeCell ref="J9:O9"/>
    <mergeCell ref="Z9:AA9"/>
    <mergeCell ref="AJ9:AK9"/>
    <mergeCell ref="L10:M11"/>
    <mergeCell ref="Y10:AA10"/>
    <mergeCell ref="AS10:BD10"/>
    <mergeCell ref="Z6:AA6"/>
    <mergeCell ref="AJ6:AK6"/>
    <mergeCell ref="AS6:BD6"/>
    <mergeCell ref="K7:N7"/>
    <mergeCell ref="Q7:R8"/>
    <mergeCell ref="Z7:AA7"/>
    <mergeCell ref="A8:B8"/>
    <mergeCell ref="J8:K8"/>
    <mergeCell ref="L8:M8"/>
    <mergeCell ref="Y14:Z14"/>
    <mergeCell ref="AY14:BB14"/>
    <mergeCell ref="H15:N15"/>
    <mergeCell ref="O15:P15"/>
    <mergeCell ref="Y15:Z15"/>
    <mergeCell ref="AJ15:AK15"/>
    <mergeCell ref="AV12:BD12"/>
    <mergeCell ref="H13:N13"/>
    <mergeCell ref="O13:P13"/>
    <mergeCell ref="Y13:Z13"/>
    <mergeCell ref="AD13:AH13"/>
    <mergeCell ref="AI13:AK13"/>
    <mergeCell ref="H14:N14"/>
    <mergeCell ref="O14:P14"/>
    <mergeCell ref="AP17:AQ17"/>
    <mergeCell ref="AR17:AS17"/>
    <mergeCell ref="H17:N17"/>
    <mergeCell ref="O17:P17"/>
    <mergeCell ref="AI18:AK18"/>
    <mergeCell ref="AP18:AQ18"/>
    <mergeCell ref="AR18:AS18"/>
    <mergeCell ref="H16:N16"/>
    <mergeCell ref="O16:P16"/>
    <mergeCell ref="AI16:AK16"/>
    <mergeCell ref="Y17:Z17"/>
    <mergeCell ref="H18:N18"/>
    <mergeCell ref="O18:P18"/>
    <mergeCell ref="AI19:AK19"/>
    <mergeCell ref="AP19:AQ19"/>
    <mergeCell ref="AR19:AX19"/>
    <mergeCell ref="X19:Z19"/>
    <mergeCell ref="AD20:AI20"/>
    <mergeCell ref="A24:B24"/>
    <mergeCell ref="AQ29:BC29"/>
    <mergeCell ref="I24:J24"/>
    <mergeCell ref="AQ24:BC24"/>
    <mergeCell ref="AQ25:BC25"/>
    <mergeCell ref="AH26:AI26"/>
    <mergeCell ref="AQ26:BC26"/>
    <mergeCell ref="AJ20:AL20"/>
    <mergeCell ref="AP20:AQ20"/>
    <mergeCell ref="AR20:AY20"/>
    <mergeCell ref="I21:Y23"/>
    <mergeCell ref="AQ21:AZ22"/>
    <mergeCell ref="A25:B25"/>
    <mergeCell ref="H19:L19"/>
    <mergeCell ref="M19:P19"/>
    <mergeCell ref="A19:B19"/>
    <mergeCell ref="AQ30:BC30"/>
    <mergeCell ref="A26:B26"/>
    <mergeCell ref="C26:D26"/>
    <mergeCell ref="AH31:AI31"/>
    <mergeCell ref="AQ31:BC31"/>
    <mergeCell ref="AJ27:AK27"/>
    <mergeCell ref="AQ27:BC27"/>
    <mergeCell ref="AG28:AI29"/>
    <mergeCell ref="AJ28:AL29"/>
    <mergeCell ref="AQ28:BC28"/>
    <mergeCell ref="A31:D32"/>
    <mergeCell ref="H37:AF38"/>
    <mergeCell ref="AQ32:BC32"/>
    <mergeCell ref="K33:L33"/>
    <mergeCell ref="S33:T33"/>
    <mergeCell ref="AB33:AC33"/>
    <mergeCell ref="AQ33:BC33"/>
    <mergeCell ref="T34:V34"/>
    <mergeCell ref="W34:AA34"/>
    <mergeCell ref="AQ34:BC34"/>
    <mergeCell ref="BD52:BF52"/>
    <mergeCell ref="P53:Q53"/>
    <mergeCell ref="S53:T53"/>
    <mergeCell ref="P54:Q54"/>
    <mergeCell ref="S54:T54"/>
    <mergeCell ref="E50:G50"/>
    <mergeCell ref="P50:Q50"/>
    <mergeCell ref="S50:T50"/>
    <mergeCell ref="P51:Q51"/>
    <mergeCell ref="S51:T51"/>
    <mergeCell ref="AG51:AH51"/>
    <mergeCell ref="BD50:BE50"/>
    <mergeCell ref="A13:B13"/>
    <mergeCell ref="I63:J63"/>
    <mergeCell ref="Q55:R55"/>
    <mergeCell ref="Q56:R56"/>
    <mergeCell ref="AV56:AX56"/>
    <mergeCell ref="AA58:AB59"/>
    <mergeCell ref="AC58:AJ59"/>
    <mergeCell ref="I61:I62"/>
    <mergeCell ref="J61:J62"/>
    <mergeCell ref="Z62:AB62"/>
    <mergeCell ref="P52:Q52"/>
    <mergeCell ref="S52:T52"/>
    <mergeCell ref="L48:N48"/>
    <mergeCell ref="O48:R48"/>
    <mergeCell ref="AJ48:AS48"/>
    <mergeCell ref="AT48:AV48"/>
    <mergeCell ref="P49:R49"/>
    <mergeCell ref="S49:T49"/>
    <mergeCell ref="AQ35:BC35"/>
    <mergeCell ref="AG40:AI40"/>
    <mergeCell ref="AA43:AB44"/>
    <mergeCell ref="AC43:AH44"/>
    <mergeCell ref="R46:S46"/>
    <mergeCell ref="AY46:AZ46"/>
  </mergeCells>
  <hyperlinks>
    <hyperlink ref="A31:D32" location="Index!A1" display="RETURN TO INDEX" xr:uid="{00000000-0004-0000-0300-000000000000}"/>
  </hyperlinks>
  <printOptions horizontalCentered="1"/>
  <pageMargins left="0.25" right="0.25" top="0.75" bottom="1" header="0.3" footer="0.3"/>
  <pageSetup scale="59" orientation="portrait" r:id="rId1"/>
  <headerFoot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1</xdr:col>
                    <xdr:colOff>581025</xdr:colOff>
                    <xdr:row>3</xdr:row>
                    <xdr:rowOff>200025</xdr:rowOff>
                  </from>
                  <to>
                    <xdr:col>3</xdr:col>
                    <xdr:colOff>200025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1</xdr:col>
                    <xdr:colOff>581025</xdr:colOff>
                    <xdr:row>6</xdr:row>
                    <xdr:rowOff>200025</xdr:rowOff>
                  </from>
                  <to>
                    <xdr:col>3</xdr:col>
                    <xdr:colOff>200025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</xdr:col>
                    <xdr:colOff>581025</xdr:colOff>
                    <xdr:row>19</xdr:row>
                    <xdr:rowOff>200025</xdr:rowOff>
                  </from>
                  <to>
                    <xdr:col>3</xdr:col>
                    <xdr:colOff>200025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Drop Down 6">
              <controlPr defaultSize="0" autoLine="0" autoPict="0">
                <anchor moveWithCells="1">
                  <from>
                    <xdr:col>1</xdr:col>
                    <xdr:colOff>581025</xdr:colOff>
                    <xdr:row>11</xdr:row>
                    <xdr:rowOff>200025</xdr:rowOff>
                  </from>
                  <to>
                    <xdr:col>3</xdr:col>
                    <xdr:colOff>200025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9" name="Drop Down 3">
              <controlPr defaultSize="0" autoLine="0" autoPict="0">
                <anchor moveWithCells="1">
                  <from>
                    <xdr:col>1</xdr:col>
                    <xdr:colOff>581025</xdr:colOff>
                    <xdr:row>13</xdr:row>
                    <xdr:rowOff>200025</xdr:rowOff>
                  </from>
                  <to>
                    <xdr:col>3</xdr:col>
                    <xdr:colOff>200025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0" name="Drop Down 4">
              <controlPr defaultSize="0" autoLine="0" autoPict="0">
                <anchor moveWithCells="1">
                  <from>
                    <xdr:col>1</xdr:col>
                    <xdr:colOff>581025</xdr:colOff>
                    <xdr:row>15</xdr:row>
                    <xdr:rowOff>200025</xdr:rowOff>
                  </from>
                  <to>
                    <xdr:col>3</xdr:col>
                    <xdr:colOff>200025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Drop Down 7">
              <controlPr defaultSize="0" autoLine="0" autoPict="0">
                <anchor moveWithCells="1">
                  <from>
                    <xdr:col>1</xdr:col>
                    <xdr:colOff>581025</xdr:colOff>
                    <xdr:row>17</xdr:row>
                    <xdr:rowOff>200025</xdr:rowOff>
                  </from>
                  <to>
                    <xdr:col>3</xdr:col>
                    <xdr:colOff>200025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H281"/>
  <sheetViews>
    <sheetView workbookViewId="0">
      <selection activeCell="C2" sqref="C2"/>
    </sheetView>
  </sheetViews>
  <sheetFormatPr defaultColWidth="0" defaultRowHeight="15" customHeight="1" zeroHeight="1"/>
  <cols>
    <col min="1" max="1" width="14.42578125" customWidth="1"/>
    <col min="2" max="3" width="10.7109375" customWidth="1"/>
    <col min="4" max="4" width="7.7109375" customWidth="1"/>
    <col min="5" max="81" width="3.140625" customWidth="1"/>
    <col min="82" max="86" width="9.140625" customWidth="1"/>
    <col min="87" max="16384" width="9.140625" hidden="1"/>
  </cols>
  <sheetData>
    <row r="1" spans="1:86" s="92" customFormat="1" ht="18.75">
      <c r="A1" s="295" t="s">
        <v>210</v>
      </c>
      <c r="B1" s="296"/>
      <c r="C1" s="296"/>
      <c r="D1" s="296"/>
      <c r="E1" s="94"/>
      <c r="F1" s="94"/>
      <c r="G1" s="94"/>
      <c r="H1" s="59" t="s">
        <v>0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</row>
    <row r="2" spans="1:86" ht="16.5" customHeight="1">
      <c r="A2" s="291" t="s">
        <v>209</v>
      </c>
      <c r="B2" s="290"/>
      <c r="C2" s="286">
        <v>20000</v>
      </c>
      <c r="D2" s="210"/>
      <c r="E2" s="162"/>
      <c r="F2" s="102"/>
      <c r="G2" s="11"/>
      <c r="H2" s="60" t="s">
        <v>1</v>
      </c>
      <c r="I2" s="11"/>
      <c r="J2" s="11"/>
      <c r="K2" s="11"/>
      <c r="L2" s="89"/>
      <c r="M2" s="3"/>
      <c r="N2" s="248"/>
      <c r="O2" s="3"/>
      <c r="P2" s="3"/>
      <c r="Q2" s="3"/>
      <c r="R2" s="3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94"/>
      <c r="BG2" s="94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</row>
    <row r="3" spans="1:86" ht="16.5" customHeight="1">
      <c r="A3" s="92"/>
      <c r="B3" s="92"/>
      <c r="C3" s="92"/>
      <c r="D3" s="285"/>
      <c r="E3" s="162"/>
      <c r="F3" s="102"/>
      <c r="G3" s="6"/>
      <c r="I3" s="24"/>
      <c r="J3" s="54"/>
      <c r="K3" s="54"/>
      <c r="L3" s="25"/>
      <c r="M3" s="248"/>
      <c r="N3" s="248"/>
      <c r="O3" s="248"/>
      <c r="P3" s="2"/>
      <c r="Q3" s="2"/>
      <c r="R3" s="2"/>
      <c r="S3" s="248"/>
      <c r="T3" s="248"/>
      <c r="U3" s="248"/>
      <c r="V3" s="248"/>
      <c r="W3" s="248"/>
      <c r="X3" s="29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94"/>
      <c r="BG3" s="94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</row>
    <row r="4" spans="1:86" ht="16.5" customHeight="1">
      <c r="A4" s="297" t="s">
        <v>190</v>
      </c>
      <c r="B4" s="114"/>
      <c r="C4" s="324"/>
      <c r="D4" s="210"/>
      <c r="E4" s="162"/>
      <c r="F4" s="103"/>
      <c r="G4" s="28"/>
      <c r="H4" s="28"/>
      <c r="I4" s="54"/>
      <c r="J4" s="54"/>
      <c r="K4" s="54"/>
      <c r="L4" s="28"/>
      <c r="M4" s="248"/>
      <c r="N4" s="47" t="s">
        <v>2</v>
      </c>
      <c r="O4" s="248"/>
      <c r="P4" s="28"/>
      <c r="Q4" s="28"/>
      <c r="R4" s="28"/>
      <c r="S4" s="248"/>
      <c r="T4" s="248"/>
      <c r="U4" s="248"/>
      <c r="V4" s="248"/>
      <c r="W4" s="248"/>
      <c r="X4" s="29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94"/>
      <c r="BG4" s="94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</row>
    <row r="5" spans="1:86" ht="16.5" customHeight="1">
      <c r="A5" s="668" t="s">
        <v>22</v>
      </c>
      <c r="B5" s="668"/>
      <c r="C5" s="38">
        <v>4</v>
      </c>
      <c r="D5" s="225"/>
      <c r="E5" s="162"/>
      <c r="F5" s="104"/>
      <c r="G5" s="28"/>
      <c r="H5" s="28"/>
      <c r="I5" s="55"/>
      <c r="J5" s="55"/>
      <c r="K5" s="56"/>
      <c r="L5" s="28"/>
      <c r="M5" s="28"/>
      <c r="N5" s="94"/>
      <c r="O5" s="28"/>
      <c r="P5" s="28"/>
      <c r="Q5" s="28"/>
      <c r="R5" s="28"/>
      <c r="S5" s="11" t="s">
        <v>26</v>
      </c>
      <c r="T5" s="94"/>
      <c r="U5" s="94"/>
      <c r="V5" s="96"/>
      <c r="W5" s="110"/>
      <c r="X5" s="110"/>
      <c r="Y5" s="96"/>
      <c r="Z5" s="31"/>
      <c r="AA5" s="31"/>
      <c r="AB5" s="31"/>
      <c r="AC5" s="96"/>
      <c r="AD5" s="33" t="s">
        <v>70</v>
      </c>
      <c r="AE5" s="116"/>
      <c r="AF5" s="31"/>
      <c r="AG5" s="31"/>
      <c r="AH5" s="31"/>
      <c r="AI5" s="31"/>
      <c r="AJ5" s="31"/>
      <c r="AK5" s="31"/>
      <c r="AL5" s="31"/>
      <c r="AM5" s="94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94"/>
      <c r="BG5" s="94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</row>
    <row r="6" spans="1:86" ht="16.5" customHeight="1">
      <c r="A6" s="92"/>
      <c r="B6" s="225"/>
      <c r="C6" s="225"/>
      <c r="D6" s="225"/>
      <c r="E6" s="162"/>
      <c r="F6" s="96"/>
      <c r="G6" s="28"/>
      <c r="H6" s="28"/>
      <c r="I6" s="189"/>
      <c r="J6" s="189"/>
      <c r="K6" s="189"/>
      <c r="L6" s="25"/>
      <c r="M6" s="178"/>
      <c r="N6" s="178"/>
      <c r="O6" s="178"/>
      <c r="P6" s="178"/>
      <c r="Q6" s="178"/>
      <c r="R6" s="186"/>
      <c r="S6" s="247" t="s">
        <v>29</v>
      </c>
      <c r="T6" s="247"/>
      <c r="U6" s="247"/>
      <c r="V6" s="247"/>
      <c r="W6" s="247"/>
      <c r="X6" s="247"/>
      <c r="Y6" s="247"/>
      <c r="Z6" s="737">
        <f>Y13*O13</f>
        <v>100</v>
      </c>
      <c r="AA6" s="737"/>
      <c r="AB6" s="94"/>
      <c r="AC6" s="94"/>
      <c r="AD6" s="246" t="s">
        <v>159</v>
      </c>
      <c r="AE6" s="246"/>
      <c r="AF6" s="246"/>
      <c r="AG6" s="246"/>
      <c r="AH6" s="246"/>
      <c r="AI6" s="94"/>
      <c r="AJ6" s="736">
        <f>P53+S48*S53</f>
        <v>654.05602853249297</v>
      </c>
      <c r="AK6" s="736"/>
      <c r="AL6" s="29" t="s">
        <v>30</v>
      </c>
      <c r="AM6" s="94"/>
      <c r="AN6" s="3"/>
      <c r="AO6" s="3"/>
      <c r="AP6" s="36" t="s">
        <v>4</v>
      </c>
      <c r="AQ6" s="35"/>
      <c r="AR6" s="35"/>
      <c r="AS6" s="716"/>
      <c r="AT6" s="716"/>
      <c r="AU6" s="716"/>
      <c r="AV6" s="716"/>
      <c r="AW6" s="716"/>
      <c r="AX6" s="716"/>
      <c r="AY6" s="716"/>
      <c r="AZ6" s="716"/>
      <c r="BA6" s="716"/>
      <c r="BB6" s="716"/>
      <c r="BC6" s="716"/>
      <c r="BD6" s="716"/>
      <c r="BE6" s="28"/>
      <c r="BF6" s="94"/>
      <c r="BG6" s="94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</row>
    <row r="7" spans="1:86" ht="16.5" customHeight="1">
      <c r="A7" s="298" t="s">
        <v>192</v>
      </c>
      <c r="B7" s="92"/>
      <c r="C7" s="92"/>
      <c r="D7" s="225"/>
      <c r="E7" s="162"/>
      <c r="F7" s="96"/>
      <c r="G7" s="91"/>
      <c r="H7" s="22"/>
      <c r="I7" s="22"/>
      <c r="J7" s="22"/>
      <c r="K7" s="761" t="str">
        <f>VLOOKUP($C$5,Data!$B$4:$L$7,2)</f>
        <v>SK290</v>
      </c>
      <c r="L7" s="761"/>
      <c r="M7" s="761"/>
      <c r="N7" s="761"/>
      <c r="O7" s="178"/>
      <c r="P7" s="178"/>
      <c r="Q7" s="738">
        <f>VLOOKUP($C$5,Data!$B$4:$L$5,7)</f>
        <v>29.7</v>
      </c>
      <c r="R7" s="738"/>
      <c r="S7" s="185" t="s">
        <v>32</v>
      </c>
      <c r="T7" s="185"/>
      <c r="U7" s="185"/>
      <c r="V7" s="185"/>
      <c r="W7" s="185"/>
      <c r="X7" s="185"/>
      <c r="Y7" s="185"/>
      <c r="Z7" s="749">
        <f>VLOOKUP($C$5,Data!$B$4:$L$7,3)</f>
        <v>109.7</v>
      </c>
      <c r="AA7" s="749"/>
      <c r="AB7" s="29" t="s">
        <v>30</v>
      </c>
      <c r="AC7" s="94"/>
      <c r="AD7" s="179" t="s">
        <v>160</v>
      </c>
      <c r="AE7" s="167"/>
      <c r="AF7" s="167"/>
      <c r="AG7" s="167"/>
      <c r="AH7" s="167"/>
      <c r="AI7" s="167"/>
      <c r="AJ7" s="167"/>
      <c r="AK7" s="167"/>
      <c r="AL7" s="167"/>
      <c r="AM7" s="94"/>
      <c r="AN7" s="3"/>
      <c r="AO7" s="3"/>
      <c r="AP7" s="35"/>
      <c r="AQ7" s="35"/>
      <c r="AR7" s="35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94"/>
      <c r="BG7" s="94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</row>
    <row r="8" spans="1:86" ht="16.5" customHeight="1">
      <c r="A8" s="668" t="s">
        <v>5</v>
      </c>
      <c r="B8" s="669"/>
      <c r="C8" s="38">
        <v>10</v>
      </c>
      <c r="D8" s="225"/>
      <c r="E8" s="162"/>
      <c r="F8" s="96"/>
      <c r="G8" s="11"/>
      <c r="H8" s="11"/>
      <c r="I8" s="11"/>
      <c r="J8" s="721" t="s">
        <v>15</v>
      </c>
      <c r="K8" s="717"/>
      <c r="L8" s="762">
        <f>VLOOKUP($C$5,Data!$B$4:$L$7,3)/(VLOOKUP($C$5,Data!$B$4:$L$7,4)/12)</f>
        <v>27.254658385093173</v>
      </c>
      <c r="M8" s="762"/>
      <c r="N8" s="190" t="s">
        <v>16</v>
      </c>
      <c r="O8" s="93"/>
      <c r="P8" s="93"/>
      <c r="Q8" s="738"/>
      <c r="R8" s="738"/>
      <c r="S8" s="185" t="s">
        <v>33</v>
      </c>
      <c r="T8" s="185"/>
      <c r="U8" s="185"/>
      <c r="V8" s="185"/>
      <c r="W8" s="185"/>
      <c r="X8" s="185"/>
      <c r="Y8" s="185"/>
      <c r="Z8" s="737">
        <f>2*Y13</f>
        <v>20</v>
      </c>
      <c r="AA8" s="737"/>
      <c r="AB8" s="94"/>
      <c r="AC8" s="94"/>
      <c r="AD8" s="188" t="s">
        <v>173</v>
      </c>
      <c r="AE8" s="180"/>
      <c r="AF8" s="180"/>
      <c r="AG8" s="180"/>
      <c r="AH8" s="180"/>
      <c r="AI8" s="180"/>
      <c r="AJ8" s="180"/>
      <c r="AK8" s="180"/>
      <c r="AL8" s="180"/>
      <c r="AM8" s="94"/>
      <c r="AN8" s="3"/>
      <c r="AO8" s="3"/>
      <c r="AP8" s="37" t="s">
        <v>10</v>
      </c>
      <c r="AQ8" s="3"/>
      <c r="AR8" s="3"/>
      <c r="AS8" s="716"/>
      <c r="AT8" s="716"/>
      <c r="AU8" s="716"/>
      <c r="AV8" s="716"/>
      <c r="AW8" s="716"/>
      <c r="AX8" s="716"/>
      <c r="AY8" s="716"/>
      <c r="AZ8" s="716"/>
      <c r="BA8" s="716"/>
      <c r="BB8" s="716"/>
      <c r="BC8" s="716"/>
      <c r="BD8" s="716"/>
      <c r="BE8" s="3"/>
      <c r="BF8" s="94"/>
      <c r="BG8" s="94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</row>
    <row r="9" spans="1:86" ht="16.5" customHeight="1">
      <c r="A9" s="670" t="s">
        <v>211</v>
      </c>
      <c r="B9" s="670"/>
      <c r="C9" s="670"/>
      <c r="D9" s="670"/>
      <c r="E9" s="91"/>
      <c r="F9" s="3"/>
      <c r="G9" s="11"/>
      <c r="H9" s="11"/>
      <c r="I9" s="11"/>
      <c r="J9" s="760" t="s">
        <v>19</v>
      </c>
      <c r="K9" s="760"/>
      <c r="L9" s="760"/>
      <c r="M9" s="760"/>
      <c r="N9" s="760"/>
      <c r="O9" s="760"/>
      <c r="P9" s="93"/>
      <c r="Q9" s="94"/>
      <c r="R9" s="94"/>
      <c r="S9" s="185" t="s">
        <v>36</v>
      </c>
      <c r="T9" s="185"/>
      <c r="U9" s="185"/>
      <c r="V9" s="185"/>
      <c r="W9" s="185"/>
      <c r="X9" s="185"/>
      <c r="Y9" s="185"/>
      <c r="Z9" s="749">
        <f>VLOOKUP($C$5,Data!$B$4:$M$7,12)</f>
        <v>39.6</v>
      </c>
      <c r="AA9" s="749"/>
      <c r="AB9" s="29" t="s">
        <v>30</v>
      </c>
      <c r="AC9" s="94"/>
      <c r="AD9" s="246" t="s">
        <v>172</v>
      </c>
      <c r="AE9" s="246"/>
      <c r="AF9" s="246"/>
      <c r="AG9" s="246"/>
      <c r="AH9" s="246"/>
      <c r="AI9" s="246"/>
      <c r="AJ9" s="748">
        <f>P54+S48*S54</f>
        <v>845.4139581989632</v>
      </c>
      <c r="AK9" s="748"/>
      <c r="AL9" s="29" t="s">
        <v>30</v>
      </c>
      <c r="AM9" s="94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94"/>
      <c r="BG9" s="94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</row>
    <row r="10" spans="1:86" ht="16.5" customHeight="1">
      <c r="A10" s="92"/>
      <c r="B10" s="114"/>
      <c r="C10" s="114"/>
      <c r="D10" s="97"/>
      <c r="E10" s="163"/>
      <c r="F10" s="96"/>
      <c r="G10" s="3"/>
      <c r="H10" s="3"/>
      <c r="I10" s="3"/>
      <c r="J10" s="94"/>
      <c r="K10" s="94"/>
      <c r="L10" s="770">
        <f>VLOOKUP($C$5,Data!$B$4:$L$7,6)</f>
        <v>100.5</v>
      </c>
      <c r="M10" s="770"/>
      <c r="N10" s="94"/>
      <c r="O10" s="93"/>
      <c r="P10" s="93"/>
      <c r="Q10" s="93"/>
      <c r="R10" s="96"/>
      <c r="S10" s="177" t="s">
        <v>180</v>
      </c>
      <c r="T10" s="185"/>
      <c r="U10" s="185"/>
      <c r="V10" s="185"/>
      <c r="W10" s="185"/>
      <c r="X10" s="185"/>
      <c r="Y10" s="739">
        <f>Z6*Z7+Z8*Z9</f>
        <v>11762</v>
      </c>
      <c r="Z10" s="739"/>
      <c r="AA10" s="739"/>
      <c r="AB10" s="29" t="s">
        <v>30</v>
      </c>
      <c r="AC10" s="94"/>
      <c r="AD10" s="179" t="s">
        <v>164</v>
      </c>
      <c r="AE10" s="167"/>
      <c r="AF10" s="3"/>
      <c r="AG10" s="3"/>
      <c r="AH10" s="3"/>
      <c r="AI10" s="3"/>
      <c r="AJ10" s="3"/>
      <c r="AK10" s="3"/>
      <c r="AL10" s="157"/>
      <c r="AM10" s="94"/>
      <c r="AN10" s="11"/>
      <c r="AO10" s="23"/>
      <c r="AP10" s="37" t="s">
        <v>18</v>
      </c>
      <c r="AQ10" s="3"/>
      <c r="AR10" s="3"/>
      <c r="AS10" s="716"/>
      <c r="AT10" s="716"/>
      <c r="AU10" s="716"/>
      <c r="AV10" s="716"/>
      <c r="AW10" s="716"/>
      <c r="AX10" s="716"/>
      <c r="AY10" s="716"/>
      <c r="AZ10" s="716"/>
      <c r="BA10" s="716"/>
      <c r="BB10" s="716"/>
      <c r="BC10" s="716"/>
      <c r="BD10" s="716"/>
      <c r="BE10" s="3"/>
      <c r="BF10" s="94"/>
      <c r="BG10" s="94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</row>
    <row r="11" spans="1:86" ht="16.5" customHeight="1">
      <c r="A11" s="300" t="s">
        <v>189</v>
      </c>
      <c r="B11" s="92"/>
      <c r="C11" s="92"/>
      <c r="D11" s="113"/>
      <c r="E11" s="164"/>
      <c r="F11" s="96"/>
      <c r="G11" s="3"/>
      <c r="H11" s="3"/>
      <c r="I11" s="3"/>
      <c r="J11" s="94"/>
      <c r="K11" s="94"/>
      <c r="L11" s="770"/>
      <c r="M11" s="770"/>
      <c r="N11" s="94"/>
      <c r="O11" s="94"/>
      <c r="P11" s="93"/>
      <c r="Q11" s="93"/>
      <c r="R11" s="96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1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94"/>
      <c r="BG11" s="94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</row>
    <row r="12" spans="1:86" ht="16.5" customHeight="1">
      <c r="A12" s="780" t="s">
        <v>229</v>
      </c>
      <c r="B12" s="780"/>
      <c r="C12" s="92"/>
      <c r="D12" s="92"/>
      <c r="E12" s="165"/>
      <c r="F12" s="96"/>
      <c r="G12" s="94"/>
      <c r="H12" s="30" t="s">
        <v>3</v>
      </c>
      <c r="I12" s="31"/>
      <c r="J12" s="31"/>
      <c r="K12" s="31"/>
      <c r="L12" s="31"/>
      <c r="M12" s="31"/>
      <c r="N12" s="31"/>
      <c r="O12" s="31"/>
      <c r="P12" s="31"/>
      <c r="Q12" s="192"/>
      <c r="R12" s="96"/>
      <c r="S12" s="30" t="s">
        <v>198</v>
      </c>
      <c r="T12" s="31"/>
      <c r="U12" s="31"/>
      <c r="V12" s="31"/>
      <c r="W12" s="31"/>
      <c r="X12" s="31"/>
      <c r="Y12" s="31"/>
      <c r="Z12" s="31"/>
      <c r="AA12" s="116"/>
      <c r="AB12" s="27"/>
      <c r="AC12" s="94"/>
      <c r="AD12" s="201" t="s">
        <v>176</v>
      </c>
      <c r="AE12" s="116"/>
      <c r="AF12" s="116"/>
      <c r="AG12" s="116"/>
      <c r="AH12" s="116"/>
      <c r="AI12" s="116"/>
      <c r="AJ12" s="116"/>
      <c r="AK12" s="116"/>
      <c r="AL12" s="116"/>
      <c r="AM12" s="94"/>
      <c r="AN12" s="3"/>
      <c r="AO12" s="3"/>
      <c r="AP12" s="37" t="s">
        <v>25</v>
      </c>
      <c r="AQ12" s="3"/>
      <c r="AR12" s="3"/>
      <c r="AS12" s="3"/>
      <c r="AT12" s="3"/>
      <c r="AU12" s="3"/>
      <c r="AV12" s="716"/>
      <c r="AW12" s="716"/>
      <c r="AX12" s="716"/>
      <c r="AY12" s="716"/>
      <c r="AZ12" s="716"/>
      <c r="BA12" s="716"/>
      <c r="BB12" s="716"/>
      <c r="BC12" s="716"/>
      <c r="BD12" s="716"/>
      <c r="BE12" s="3"/>
      <c r="BF12" s="94"/>
      <c r="BG12" s="94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</row>
    <row r="13" spans="1:86" ht="16.5" customHeight="1" thickBot="1">
      <c r="A13" s="780"/>
      <c r="B13" s="780"/>
      <c r="C13" s="241">
        <v>6</v>
      </c>
      <c r="D13" s="299"/>
      <c r="E13" s="96"/>
      <c r="F13" s="96"/>
      <c r="G13" s="94"/>
      <c r="H13" s="773" t="s">
        <v>6</v>
      </c>
      <c r="I13" s="773"/>
      <c r="J13" s="773"/>
      <c r="K13" s="773"/>
      <c r="L13" s="773"/>
      <c r="M13" s="773"/>
      <c r="N13" s="773"/>
      <c r="O13" s="717">
        <f>C27</f>
        <v>10</v>
      </c>
      <c r="P13" s="717"/>
      <c r="Q13" s="93"/>
      <c r="R13" s="96"/>
      <c r="S13" s="242" t="s">
        <v>5</v>
      </c>
      <c r="T13" s="242"/>
      <c r="U13" s="242"/>
      <c r="V13" s="242"/>
      <c r="W13" s="242"/>
      <c r="X13" s="94"/>
      <c r="Y13" s="717">
        <f>C8</f>
        <v>10</v>
      </c>
      <c r="Z13" s="717"/>
      <c r="AA13" s="94"/>
      <c r="AB13" s="3"/>
      <c r="AC13" s="94"/>
      <c r="AD13" s="746" t="s">
        <v>177</v>
      </c>
      <c r="AE13" s="746"/>
      <c r="AF13" s="746"/>
      <c r="AG13" s="746"/>
      <c r="AH13" s="746"/>
      <c r="AI13" s="757">
        <f>X20-AJ9-Y10</f>
        <v>22033.161562634363</v>
      </c>
      <c r="AJ13" s="757"/>
      <c r="AK13" s="757"/>
      <c r="AL13" s="29" t="s">
        <v>30</v>
      </c>
      <c r="AM13" s="9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94"/>
      <c r="BG13" s="94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</row>
    <row r="14" spans="1:86" ht="16.5" customHeight="1" thickBot="1">
      <c r="A14" s="303" t="str">
        <f>IF(C5=1,"Only SK31 options apply.","SK31 options DO NOT apply.")</f>
        <v>SK31 options DO NOT apply.</v>
      </c>
      <c r="B14" s="287"/>
      <c r="C14" s="303" t="str">
        <f>IF(C5=1,"Mainline x Stub","")</f>
        <v/>
      </c>
      <c r="D14" s="287"/>
      <c r="E14" s="165"/>
      <c r="F14" s="96"/>
      <c r="G14" s="94"/>
      <c r="H14" s="758" t="s">
        <v>9</v>
      </c>
      <c r="I14" s="758"/>
      <c r="J14" s="758"/>
      <c r="K14" s="758"/>
      <c r="L14" s="758"/>
      <c r="M14" s="758"/>
      <c r="N14" s="758"/>
      <c r="O14" s="718">
        <f>VLOOKUP($C$5,Data!$B$4:$L$7,4)</f>
        <v>48.3</v>
      </c>
      <c r="P14" s="718"/>
      <c r="Q14" s="242" t="s">
        <v>8</v>
      </c>
      <c r="R14" s="94"/>
      <c r="S14" s="242" t="s">
        <v>7</v>
      </c>
      <c r="T14" s="242"/>
      <c r="U14" s="242"/>
      <c r="V14" s="242"/>
      <c r="W14" s="242"/>
      <c r="X14" s="94"/>
      <c r="Y14" s="718">
        <f>VLOOKUP($C$5,Data!$B$4:$L$7,8)</f>
        <v>9</v>
      </c>
      <c r="Z14" s="717"/>
      <c r="AA14" s="29" t="s">
        <v>8</v>
      </c>
      <c r="AB14" s="94"/>
      <c r="AC14" s="94"/>
      <c r="AD14" s="201" t="s">
        <v>178</v>
      </c>
      <c r="AE14" s="200"/>
      <c r="AF14" s="200"/>
      <c r="AG14" s="200"/>
      <c r="AH14" s="200"/>
      <c r="AI14" s="200"/>
      <c r="AJ14" s="200"/>
      <c r="AK14" s="200"/>
      <c r="AL14" s="200"/>
      <c r="AM14" s="204"/>
      <c r="AN14" s="3"/>
      <c r="AO14" s="3"/>
      <c r="AP14" s="37" t="s">
        <v>28</v>
      </c>
      <c r="AQ14" s="3"/>
      <c r="AR14" s="3"/>
      <c r="AS14" s="3"/>
      <c r="AT14" s="3"/>
      <c r="AU14" s="3"/>
      <c r="AV14" s="3"/>
      <c r="AW14" s="3"/>
      <c r="AX14" s="3"/>
      <c r="AY14" s="727">
        <f>C2</f>
        <v>20000</v>
      </c>
      <c r="AZ14" s="728"/>
      <c r="BA14" s="728"/>
      <c r="BB14" s="729"/>
      <c r="BC14" s="3"/>
      <c r="BD14" s="3"/>
      <c r="BE14" s="3"/>
      <c r="BF14" s="94"/>
      <c r="BG14" s="94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</row>
    <row r="15" spans="1:86" ht="16.5" customHeight="1">
      <c r="A15" s="756" t="s">
        <v>685</v>
      </c>
      <c r="B15" s="756"/>
      <c r="C15" s="241">
        <v>6</v>
      </c>
      <c r="D15" s="217"/>
      <c r="E15" s="96"/>
      <c r="F15" s="96"/>
      <c r="G15" s="94"/>
      <c r="H15" s="758" t="s">
        <v>14</v>
      </c>
      <c r="I15" s="758"/>
      <c r="J15" s="758"/>
      <c r="K15" s="758"/>
      <c r="L15" s="758"/>
      <c r="M15" s="758"/>
      <c r="N15" s="758"/>
      <c r="O15" s="717">
        <f>VLOOKUP($C$5,Data!$B$4:$L$7,5)</f>
        <v>32.4</v>
      </c>
      <c r="P15" s="717"/>
      <c r="Q15" s="242" t="s">
        <v>8</v>
      </c>
      <c r="R15" s="94"/>
      <c r="S15" s="242" t="s">
        <v>12</v>
      </c>
      <c r="T15" s="242"/>
      <c r="U15" s="242"/>
      <c r="V15" s="242"/>
      <c r="W15" s="242"/>
      <c r="X15" s="94"/>
      <c r="Y15" s="717">
        <f>(Y13*L10+(Y13-1)*Y14+2*K33)/12</f>
        <v>92.5</v>
      </c>
      <c r="Z15" s="717"/>
      <c r="AA15" s="29" t="s">
        <v>13</v>
      </c>
      <c r="AB15" s="94"/>
      <c r="AC15" s="202"/>
      <c r="AD15" s="29" t="s">
        <v>34</v>
      </c>
      <c r="AE15" s="242"/>
      <c r="AF15" s="242"/>
      <c r="AG15" s="242"/>
      <c r="AH15" s="242"/>
      <c r="AI15" s="202"/>
      <c r="AJ15" s="747">
        <v>0.4</v>
      </c>
      <c r="AK15" s="747"/>
      <c r="AL15" s="242"/>
      <c r="AM15" s="94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94"/>
      <c r="BG15" s="94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</row>
    <row r="16" spans="1:86" ht="16.5" customHeight="1">
      <c r="A16" s="303" t="str">
        <f>IF(C5=2,"Only SK75 options apply.","SK75 options DO NOT apply.")</f>
        <v>SK75 options DO NOT apply.</v>
      </c>
      <c r="B16" s="287"/>
      <c r="C16" s="303" t="str">
        <f>IF(C5=2,"Mainline x Stub","")</f>
        <v/>
      </c>
      <c r="D16" s="287"/>
      <c r="E16" s="19"/>
      <c r="F16" s="96"/>
      <c r="G16" s="94"/>
      <c r="H16" s="758" t="s">
        <v>17</v>
      </c>
      <c r="I16" s="758"/>
      <c r="J16" s="758"/>
      <c r="K16" s="758"/>
      <c r="L16" s="758"/>
      <c r="M16" s="758"/>
      <c r="N16" s="758"/>
      <c r="O16" s="717">
        <f>(O13*O14+2*O15)/12</f>
        <v>45.65</v>
      </c>
      <c r="P16" s="717"/>
      <c r="Q16" s="242" t="s">
        <v>13</v>
      </c>
      <c r="R16" s="94"/>
      <c r="S16" s="30" t="s">
        <v>20</v>
      </c>
      <c r="T16" s="30"/>
      <c r="U16" s="30"/>
      <c r="V16" s="30"/>
      <c r="W16" s="31"/>
      <c r="X16" s="31"/>
      <c r="Y16" s="31"/>
      <c r="Z16" s="31"/>
      <c r="AA16" s="116"/>
      <c r="AB16" s="94"/>
      <c r="AC16" s="94"/>
      <c r="AD16" s="29" t="s">
        <v>179</v>
      </c>
      <c r="AE16" s="242"/>
      <c r="AF16" s="242"/>
      <c r="AG16" s="242"/>
      <c r="AH16" s="242"/>
      <c r="AI16" s="757">
        <f>AI13*AJ15</f>
        <v>8813.2646250537455</v>
      </c>
      <c r="AJ16" s="757"/>
      <c r="AK16" s="757"/>
      <c r="AL16" s="29" t="s">
        <v>30</v>
      </c>
      <c r="AM16" s="94"/>
      <c r="AN16" s="3"/>
      <c r="AO16" s="3"/>
      <c r="AP16" s="36" t="s">
        <v>188</v>
      </c>
      <c r="AQ16" s="3"/>
      <c r="AR16" s="3"/>
      <c r="AS16" s="3"/>
      <c r="AT16" s="3"/>
      <c r="AU16" s="3"/>
      <c r="AV16" s="3"/>
      <c r="AW16" s="32"/>
      <c r="AX16" s="3"/>
      <c r="AY16" s="94"/>
      <c r="AZ16" s="3"/>
      <c r="BA16" s="3"/>
      <c r="BB16" s="3"/>
      <c r="BC16" s="3"/>
      <c r="BD16" s="3"/>
      <c r="BE16" s="3"/>
      <c r="BF16" s="94"/>
      <c r="BG16" s="94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</row>
    <row r="17" spans="1:86" ht="16.5" customHeight="1">
      <c r="A17" s="756" t="s">
        <v>68</v>
      </c>
      <c r="B17" s="756"/>
      <c r="C17" s="241">
        <v>1</v>
      </c>
      <c r="D17" s="217"/>
      <c r="E17" s="166"/>
      <c r="F17" s="96"/>
      <c r="G17" s="94"/>
      <c r="H17" s="758" t="s">
        <v>21</v>
      </c>
      <c r="I17" s="758"/>
      <c r="J17" s="758"/>
      <c r="K17" s="758"/>
      <c r="L17" s="758"/>
      <c r="M17" s="758"/>
      <c r="N17" s="758"/>
      <c r="O17" s="717">
        <f>VLOOKUP($C$5,Data!$B$4:$N$7,13)</f>
        <v>12</v>
      </c>
      <c r="P17" s="717"/>
      <c r="Q17" s="242" t="s">
        <v>8</v>
      </c>
      <c r="R17" s="94"/>
      <c r="S17" s="185" t="s">
        <v>23</v>
      </c>
      <c r="T17" s="22"/>
      <c r="U17" s="22"/>
      <c r="V17" s="22"/>
      <c r="W17" s="185"/>
      <c r="X17" s="94"/>
      <c r="Y17" s="749">
        <f>(AH26+AG28+AH31)/12</f>
        <v>6.708333333333333</v>
      </c>
      <c r="Z17" s="749"/>
      <c r="AA17" s="177" t="s">
        <v>13</v>
      </c>
      <c r="AB17" s="94"/>
      <c r="AC17" s="94"/>
      <c r="AD17" s="33" t="s">
        <v>27</v>
      </c>
      <c r="AE17" s="200"/>
      <c r="AF17" s="200"/>
      <c r="AG17" s="200"/>
      <c r="AH17" s="200"/>
      <c r="AI17" s="200"/>
      <c r="AJ17" s="200"/>
      <c r="AK17" s="200"/>
      <c r="AL17" s="200"/>
      <c r="AM17" s="94"/>
      <c r="AN17" s="3"/>
      <c r="AO17" s="3"/>
      <c r="AP17" s="742">
        <f>Z6</f>
        <v>100</v>
      </c>
      <c r="AQ17" s="742"/>
      <c r="AR17" s="743" t="str">
        <f>VLOOKUP($C$5,Data!$B$4:$L$7,2)</f>
        <v>SK290</v>
      </c>
      <c r="AS17" s="743"/>
      <c r="AT17" s="243" t="s">
        <v>37</v>
      </c>
      <c r="AU17" s="196"/>
      <c r="AV17" s="243"/>
      <c r="AW17" s="243"/>
      <c r="AX17" s="243"/>
      <c r="AY17" s="243"/>
      <c r="AZ17" s="3"/>
      <c r="BA17" s="3"/>
      <c r="BB17" s="3"/>
      <c r="BC17" s="3"/>
      <c r="BD17" s="3"/>
      <c r="BE17" s="3"/>
      <c r="BF17" s="94"/>
      <c r="BG17" s="94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</row>
    <row r="18" spans="1:86" ht="16.5" customHeight="1">
      <c r="A18" s="303" t="str">
        <f>IF(C5=3,"Only SK180 options apply.","SK180 options DO NOT apply.")</f>
        <v>SK180 options DO NOT apply.</v>
      </c>
      <c r="B18" s="92"/>
      <c r="C18" s="303" t="str">
        <f>IF(C5=3,"Mainline x Stub","")</f>
        <v/>
      </c>
      <c r="D18" s="301"/>
      <c r="E18" s="94"/>
      <c r="F18" s="96"/>
      <c r="G18" s="94"/>
      <c r="H18" s="759" t="s">
        <v>169</v>
      </c>
      <c r="I18" s="759"/>
      <c r="J18" s="759"/>
      <c r="K18" s="759"/>
      <c r="L18" s="759"/>
      <c r="M18" s="759"/>
      <c r="N18" s="759"/>
      <c r="O18" s="771">
        <f>Q55</f>
        <v>1.635</v>
      </c>
      <c r="P18" s="772"/>
      <c r="Q18" s="242" t="s">
        <v>13</v>
      </c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117"/>
      <c r="AC18" s="202"/>
      <c r="AD18" s="206" t="s">
        <v>182</v>
      </c>
      <c r="AE18" s="203"/>
      <c r="AF18" s="247"/>
      <c r="AG18" s="247"/>
      <c r="AH18" s="247"/>
      <c r="AI18" s="745">
        <f>Y10+AJ6+AI16</f>
        <v>21229.320653586241</v>
      </c>
      <c r="AJ18" s="745"/>
      <c r="AK18" s="745"/>
      <c r="AL18" s="207" t="s">
        <v>31</v>
      </c>
      <c r="AM18" s="242"/>
      <c r="AN18" s="3"/>
      <c r="AO18" s="3"/>
      <c r="AP18" s="742">
        <f>Z8</f>
        <v>20</v>
      </c>
      <c r="AQ18" s="742"/>
      <c r="AR18" s="743" t="str">
        <f>VLOOKUP($C$5,Data!$B$4:$L$7,2)</f>
        <v>SK290</v>
      </c>
      <c r="AS18" s="743"/>
      <c r="AT18" s="243" t="s">
        <v>38</v>
      </c>
      <c r="AU18" s="196"/>
      <c r="AV18" s="243"/>
      <c r="AW18" s="243"/>
      <c r="AX18" s="243"/>
      <c r="AY18" s="243"/>
      <c r="AZ18" s="3"/>
      <c r="BA18" s="3"/>
      <c r="BB18" s="3"/>
      <c r="BC18" s="3"/>
      <c r="BD18" s="3"/>
      <c r="BE18" s="3"/>
      <c r="BF18" s="94"/>
      <c r="BG18" s="94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</row>
    <row r="19" spans="1:86" ht="16.5" customHeight="1">
      <c r="A19" s="756" t="s">
        <v>69</v>
      </c>
      <c r="B19" s="756"/>
      <c r="C19" s="241">
        <v>2</v>
      </c>
      <c r="D19" s="293"/>
      <c r="E19" s="94"/>
      <c r="F19" s="96"/>
      <c r="G19" s="94"/>
      <c r="H19" s="759" t="s">
        <v>170</v>
      </c>
      <c r="I19" s="759"/>
      <c r="J19" s="759"/>
      <c r="K19" s="759"/>
      <c r="L19" s="759"/>
      <c r="M19" s="759"/>
      <c r="N19" s="759"/>
      <c r="O19" s="771">
        <f>Q56</f>
        <v>7.5400000000000009</v>
      </c>
      <c r="P19" s="771"/>
      <c r="Q19" s="242" t="s">
        <v>13</v>
      </c>
      <c r="R19" s="94"/>
      <c r="S19" s="33" t="s">
        <v>174</v>
      </c>
      <c r="T19" s="199"/>
      <c r="U19" s="200"/>
      <c r="V19" s="200"/>
      <c r="W19" s="200"/>
      <c r="X19" s="200"/>
      <c r="Y19" s="200"/>
      <c r="Z19" s="200"/>
      <c r="AA19" s="116"/>
      <c r="AB19" s="157"/>
      <c r="AC19" s="191"/>
      <c r="AD19" s="208" t="s">
        <v>181</v>
      </c>
      <c r="AE19" s="205"/>
      <c r="AF19" s="22"/>
      <c r="AG19" s="22"/>
      <c r="AH19" s="22"/>
      <c r="AI19" s="744">
        <f>C2</f>
        <v>20000</v>
      </c>
      <c r="AJ19" s="744"/>
      <c r="AK19" s="744"/>
      <c r="AL19" s="209" t="s">
        <v>31</v>
      </c>
      <c r="AM19" s="94"/>
      <c r="AN19" s="3"/>
      <c r="AO19" s="3"/>
      <c r="AP19" s="774">
        <f>AI13/27</f>
        <v>816.04302083830976</v>
      </c>
      <c r="AQ19" s="774"/>
      <c r="AR19" s="743" t="s">
        <v>39</v>
      </c>
      <c r="AS19" s="743"/>
      <c r="AT19" s="743"/>
      <c r="AU19" s="743"/>
      <c r="AV19" s="743"/>
      <c r="AW19" s="743"/>
      <c r="AX19" s="743"/>
      <c r="AY19" s="243"/>
      <c r="AZ19" s="3"/>
      <c r="BA19" s="3"/>
      <c r="BB19" s="3"/>
      <c r="BC19" s="3"/>
      <c r="BD19" s="3"/>
      <c r="BE19" s="3"/>
      <c r="BF19" s="94"/>
      <c r="BG19" s="94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</row>
    <row r="20" spans="1:86" ht="16.5" customHeight="1">
      <c r="A20" s="303" t="str">
        <f>IF(C5=4,"Only SK290 options apply.","SK290 options DO NOT apply.")</f>
        <v>Only SK290 options apply.</v>
      </c>
      <c r="B20" s="92"/>
      <c r="C20" s="303" t="str">
        <f>IF(C5=4,"Mainline x Stub","")</f>
        <v>Mainline x Stub</v>
      </c>
      <c r="D20" s="301"/>
      <c r="E20" s="117"/>
      <c r="F20" s="96"/>
      <c r="G20" s="244"/>
      <c r="H20" s="763" t="s">
        <v>24</v>
      </c>
      <c r="I20" s="763"/>
      <c r="J20" s="763"/>
      <c r="K20" s="763"/>
      <c r="L20" s="763"/>
      <c r="M20" s="725">
        <f>O16+O17/12+O18+O19</f>
        <v>55.824999999999996</v>
      </c>
      <c r="N20" s="725"/>
      <c r="O20" s="725"/>
      <c r="P20" s="725"/>
      <c r="Q20" s="242" t="s">
        <v>13</v>
      </c>
      <c r="R20" s="96"/>
      <c r="S20" s="242" t="s">
        <v>175</v>
      </c>
      <c r="T20" s="94"/>
      <c r="U20" s="94"/>
      <c r="V20" s="94"/>
      <c r="W20" s="94"/>
      <c r="X20" s="739">
        <f>Y15*Y17*M20</f>
        <v>34640.575520833328</v>
      </c>
      <c r="Y20" s="739"/>
      <c r="Z20" s="739"/>
      <c r="AA20" s="29" t="s">
        <v>30</v>
      </c>
      <c r="AB20" s="3"/>
      <c r="AC20" s="3"/>
      <c r="AD20" s="750" t="s">
        <v>35</v>
      </c>
      <c r="AE20" s="751"/>
      <c r="AF20" s="751"/>
      <c r="AG20" s="751"/>
      <c r="AH20" s="751"/>
      <c r="AI20" s="751"/>
      <c r="AJ20" s="752">
        <f>AI18/AI19</f>
        <v>1.0614660326793119</v>
      </c>
      <c r="AK20" s="752"/>
      <c r="AL20" s="753"/>
      <c r="AM20" s="3"/>
      <c r="AN20" s="3"/>
      <c r="AO20" s="3"/>
      <c r="AP20" s="774">
        <f>(2*Y15*M20+2*Y17*M20+2*Y17*Y15)/9</f>
        <v>1368.6280092592592</v>
      </c>
      <c r="AQ20" s="774"/>
      <c r="AR20" s="743" t="s">
        <v>41</v>
      </c>
      <c r="AS20" s="743"/>
      <c r="AT20" s="743"/>
      <c r="AU20" s="743"/>
      <c r="AV20" s="743"/>
      <c r="AW20" s="743"/>
      <c r="AX20" s="743"/>
      <c r="AY20" s="743"/>
      <c r="AZ20" s="3"/>
      <c r="BA20" s="3"/>
      <c r="BB20" s="3"/>
      <c r="BC20" s="3"/>
      <c r="BD20" s="3"/>
      <c r="BE20" s="3"/>
      <c r="BF20" s="94"/>
      <c r="BG20" s="94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</row>
    <row r="21" spans="1:86" ht="16.5" customHeight="1">
      <c r="A21" s="756" t="s">
        <v>695</v>
      </c>
      <c r="B21" s="756"/>
      <c r="C21" s="241">
        <v>72</v>
      </c>
      <c r="D21" s="293"/>
      <c r="E21" s="117"/>
      <c r="F21" s="96"/>
      <c r="G21" s="244"/>
      <c r="H21" s="244"/>
      <c r="I21" s="689" t="s">
        <v>40</v>
      </c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89"/>
      <c r="U21" s="689"/>
      <c r="V21" s="689"/>
      <c r="W21" s="689"/>
      <c r="X21" s="689"/>
      <c r="Y21" s="755"/>
      <c r="Z21" s="3"/>
      <c r="AA21" s="3"/>
      <c r="AB21" s="3"/>
      <c r="AC21" s="3"/>
      <c r="AE21" s="258"/>
      <c r="AF21" s="258"/>
      <c r="AG21" s="258"/>
      <c r="AH21" s="258"/>
      <c r="AI21" s="258"/>
      <c r="AJ21" s="258"/>
      <c r="AK21" s="258"/>
      <c r="AL21" s="258"/>
      <c r="AM21" s="258"/>
      <c r="AN21" s="3"/>
      <c r="AO21" s="3"/>
      <c r="AP21" s="198"/>
      <c r="AQ21" s="754" t="s">
        <v>171</v>
      </c>
      <c r="AR21" s="754"/>
      <c r="AS21" s="754"/>
      <c r="AT21" s="754"/>
      <c r="AU21" s="754"/>
      <c r="AV21" s="754"/>
      <c r="AW21" s="754"/>
      <c r="AX21" s="754"/>
      <c r="AY21" s="754"/>
      <c r="AZ21" s="754"/>
      <c r="BA21" s="216"/>
      <c r="BB21" s="216"/>
      <c r="BC21" s="216"/>
      <c r="BD21" s="216"/>
      <c r="BE21" s="3"/>
      <c r="BF21" s="94"/>
      <c r="BG21" s="94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</row>
    <row r="22" spans="1:86" ht="16.5" customHeight="1">
      <c r="A22" s="92"/>
      <c r="B22" s="92"/>
      <c r="C22" s="92"/>
      <c r="D22" s="92"/>
      <c r="E22" s="117"/>
      <c r="F22" s="96"/>
      <c r="G22" s="13"/>
      <c r="H22" s="14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89"/>
      <c r="U22" s="689"/>
      <c r="V22" s="689"/>
      <c r="W22" s="689"/>
      <c r="X22" s="689"/>
      <c r="Y22" s="755"/>
      <c r="Z22" s="3"/>
      <c r="AA22" s="3"/>
      <c r="AB22" s="3"/>
      <c r="AC22" s="3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3"/>
      <c r="AO22" s="3"/>
      <c r="AP22" s="197"/>
      <c r="AQ22" s="754"/>
      <c r="AR22" s="754"/>
      <c r="AS22" s="754"/>
      <c r="AT22" s="754"/>
      <c r="AU22" s="754"/>
      <c r="AV22" s="754"/>
      <c r="AW22" s="754"/>
      <c r="AX22" s="754"/>
      <c r="AY22" s="754"/>
      <c r="AZ22" s="754"/>
      <c r="BA22" s="216"/>
      <c r="BB22" s="216"/>
      <c r="BC22" s="216"/>
      <c r="BD22" s="216"/>
      <c r="BE22" s="3"/>
      <c r="BF22" s="94"/>
      <c r="BG22" s="94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</row>
    <row r="23" spans="1:86" ht="16.5" customHeight="1">
      <c r="A23" s="302" t="s">
        <v>212</v>
      </c>
      <c r="B23" s="114"/>
      <c r="C23" s="241">
        <v>2</v>
      </c>
      <c r="D23" s="114"/>
      <c r="E23" s="117"/>
      <c r="F23" s="96"/>
      <c r="G23" s="244"/>
      <c r="H23" s="21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89"/>
      <c r="T23" s="689"/>
      <c r="U23" s="689"/>
      <c r="V23" s="689"/>
      <c r="W23" s="689"/>
      <c r="X23" s="689"/>
      <c r="Y23" s="755"/>
      <c r="Z23" s="3"/>
      <c r="AA23" s="3"/>
      <c r="AB23" s="3"/>
      <c r="AC23" s="3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3"/>
      <c r="AO23" s="3"/>
      <c r="AP23" s="36" t="s">
        <v>42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94"/>
      <c r="BG23" s="94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</row>
    <row r="24" spans="1:86" ht="16.5" customHeight="1">
      <c r="A24" s="92"/>
      <c r="B24" s="92"/>
      <c r="C24" s="92"/>
      <c r="D24" s="213"/>
      <c r="E24" s="94"/>
      <c r="F24" s="96"/>
      <c r="G24" s="245"/>
      <c r="H24" s="245"/>
      <c r="I24" s="691"/>
      <c r="J24" s="691"/>
      <c r="K24" s="15"/>
      <c r="L24" s="5"/>
      <c r="M24" s="5"/>
      <c r="N24" s="5"/>
      <c r="O24" s="5"/>
      <c r="P24" s="5"/>
      <c r="Q24" s="5"/>
      <c r="R24" s="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48"/>
      <c r="AQ24" s="693"/>
      <c r="AR24" s="693"/>
      <c r="AS24" s="693"/>
      <c r="AT24" s="693"/>
      <c r="AU24" s="693"/>
      <c r="AV24" s="693"/>
      <c r="AW24" s="693"/>
      <c r="AX24" s="693"/>
      <c r="AY24" s="693"/>
      <c r="AZ24" s="693"/>
      <c r="BA24" s="693"/>
      <c r="BB24" s="693"/>
      <c r="BC24" s="693"/>
      <c r="BD24" s="49"/>
      <c r="BE24" s="3"/>
      <c r="BF24" s="94"/>
      <c r="BG24" s="94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</row>
    <row r="25" spans="1:86" ht="12.75" customHeight="1">
      <c r="A25" s="300" t="s">
        <v>213</v>
      </c>
      <c r="B25" s="92"/>
      <c r="C25" s="92"/>
      <c r="D25" s="92"/>
      <c r="E25" s="94"/>
      <c r="F25" s="96"/>
      <c r="G25" s="11"/>
      <c r="H25" s="11"/>
      <c r="I25" s="11"/>
      <c r="J25" s="11"/>
      <c r="K25" s="15"/>
      <c r="L25" s="5"/>
      <c r="M25" s="5"/>
      <c r="N25" s="5"/>
      <c r="O25" s="5"/>
      <c r="P25" s="5"/>
      <c r="Q25" s="5"/>
      <c r="R25" s="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50"/>
      <c r="AQ25" s="693"/>
      <c r="AR25" s="693"/>
      <c r="AS25" s="693"/>
      <c r="AT25" s="693"/>
      <c r="AU25" s="693"/>
      <c r="AV25" s="693"/>
      <c r="AW25" s="693"/>
      <c r="AX25" s="693"/>
      <c r="AY25" s="693"/>
      <c r="AZ25" s="693"/>
      <c r="BA25" s="693"/>
      <c r="BB25" s="693"/>
      <c r="BC25" s="693"/>
      <c r="BD25" s="51"/>
      <c r="BE25" s="3"/>
      <c r="BF25" s="94"/>
      <c r="BG25" s="94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</row>
    <row r="26" spans="1:86" ht="16.5" customHeight="1">
      <c r="A26" s="671" t="s">
        <v>184</v>
      </c>
      <c r="B26" s="671"/>
      <c r="C26" s="226">
        <f>(C2-2*((Y15*Y17*O15/12-C8*Z9)*AJ15+C8*Z9)-(O17/12*Y15*Y17*AJ15+AJ6+((Q55+Q56)*Y15*Y17-AJ9)*AJ15))/((C8*L8+(Y15*Y17-C8*L8)*AJ15)*O14/12)</f>
        <v>9.2582114024756343</v>
      </c>
      <c r="D26" s="227"/>
      <c r="E26" s="94"/>
      <c r="F26" s="96"/>
      <c r="G26" s="11"/>
      <c r="H26" s="11"/>
      <c r="I26" s="11"/>
      <c r="J26" s="11"/>
      <c r="K26" s="15"/>
      <c r="L26" s="5"/>
      <c r="M26" s="5"/>
      <c r="N26" s="5"/>
      <c r="O26" s="5"/>
      <c r="P26" s="5"/>
      <c r="Q26" s="5"/>
      <c r="R26" s="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685">
        <f>VLOOKUP($C$5,Data!$B$4:$L$7,11)</f>
        <v>12</v>
      </c>
      <c r="AI26" s="685"/>
      <c r="AJ26" s="3"/>
      <c r="AK26" s="3"/>
      <c r="AL26" s="3"/>
      <c r="AM26" s="3"/>
      <c r="AN26" s="3"/>
      <c r="AO26" s="3"/>
      <c r="AP26" s="50"/>
      <c r="AQ26" s="693"/>
      <c r="AR26" s="693"/>
      <c r="AS26" s="693"/>
      <c r="AT26" s="693"/>
      <c r="AU26" s="693"/>
      <c r="AV26" s="693"/>
      <c r="AW26" s="693"/>
      <c r="AX26" s="693"/>
      <c r="AY26" s="693"/>
      <c r="AZ26" s="693"/>
      <c r="BA26" s="693"/>
      <c r="BB26" s="693"/>
      <c r="BC26" s="693"/>
      <c r="BD26" s="51"/>
      <c r="BE26" s="3"/>
      <c r="BF26" s="94"/>
      <c r="BG26" s="94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</row>
    <row r="27" spans="1:86" ht="16.5" customHeight="1">
      <c r="A27" s="671" t="s">
        <v>185</v>
      </c>
      <c r="B27" s="671"/>
      <c r="C27" s="215">
        <f>ROUNDUP((C2-2*((Y15*Y17*O15/12-C8*Z9)*AJ15+C8*Z9)-(O17/12*Y15*Y17*AJ15+AJ6+((Q55+Q56)*Y15*Y17-AJ9)*AJ15))/((C8*L8+(Y15*Y17-C8*L8)*AJ15)*O14/12),0)</f>
        <v>10</v>
      </c>
      <c r="D27" s="227"/>
      <c r="E27" s="94"/>
      <c r="F27" s="3"/>
      <c r="G27" s="11"/>
      <c r="H27" s="11"/>
      <c r="I27" s="11"/>
      <c r="J27" s="11"/>
      <c r="K27" s="16"/>
      <c r="L27" s="5"/>
      <c r="M27" s="5"/>
      <c r="N27" s="5"/>
      <c r="O27" s="5"/>
      <c r="P27" s="5"/>
      <c r="Q27" s="5"/>
      <c r="R27" s="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26"/>
      <c r="AH27" s="26"/>
      <c r="AI27" s="3"/>
      <c r="AJ27" s="696">
        <f>Y17</f>
        <v>6.708333333333333</v>
      </c>
      <c r="AK27" s="696"/>
      <c r="AL27" s="3"/>
      <c r="AM27" s="3"/>
      <c r="AN27" s="3"/>
      <c r="AO27" s="3"/>
      <c r="AP27" s="50"/>
      <c r="AQ27" s="693"/>
      <c r="AR27" s="693"/>
      <c r="AS27" s="693"/>
      <c r="AT27" s="693"/>
      <c r="AU27" s="693"/>
      <c r="AV27" s="693"/>
      <c r="AW27" s="693"/>
      <c r="AX27" s="693"/>
      <c r="AY27" s="693"/>
      <c r="AZ27" s="693"/>
      <c r="BA27" s="693"/>
      <c r="BB27" s="693"/>
      <c r="BC27" s="693"/>
      <c r="BD27" s="51"/>
      <c r="BE27" s="3"/>
      <c r="BF27" s="94"/>
      <c r="BG27" s="94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</row>
    <row r="28" spans="1:86" ht="16.5" customHeight="1">
      <c r="A28" s="672" t="s">
        <v>186</v>
      </c>
      <c r="B28" s="673"/>
      <c r="C28" s="708">
        <f>(C8*L8+(Y15*Y17-C8*L8)*AJ15)*O14/12*C27+2*((Y15*Y17*O15/12-C8*Z9)*AJ15+C8*Z9)+O17/12*Y15*Y17*AJ15+AJ6+((Q55+Q56)*Y15*Y17-AJ9)*AJ15</f>
        <v>21229.320653586241</v>
      </c>
      <c r="D28" s="708"/>
      <c r="E28" s="94"/>
      <c r="F28" s="3"/>
      <c r="G28" s="11"/>
      <c r="H28" s="11"/>
      <c r="I28" s="11"/>
      <c r="J28" s="11"/>
      <c r="K28" s="12"/>
      <c r="L28" s="5"/>
      <c r="M28" s="5"/>
      <c r="N28" s="5"/>
      <c r="O28" s="5"/>
      <c r="P28" s="5"/>
      <c r="Q28" s="5"/>
      <c r="R28" s="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699">
        <f>VLOOKUP($C$5,Data!$B$4:$L$7,7)</f>
        <v>59.5</v>
      </c>
      <c r="AH28" s="699"/>
      <c r="AI28" s="699"/>
      <c r="AJ28" s="700" t="s">
        <v>43</v>
      </c>
      <c r="AK28" s="700"/>
      <c r="AL28" s="700"/>
      <c r="AM28" s="3"/>
      <c r="AN28" s="3"/>
      <c r="AO28" s="3"/>
      <c r="AP28" s="50"/>
      <c r="AQ28" s="693"/>
      <c r="AR28" s="693"/>
      <c r="AS28" s="693"/>
      <c r="AT28" s="693"/>
      <c r="AU28" s="693"/>
      <c r="AV28" s="693"/>
      <c r="AW28" s="693"/>
      <c r="AX28" s="693"/>
      <c r="AY28" s="693"/>
      <c r="AZ28" s="693"/>
      <c r="BA28" s="693"/>
      <c r="BB28" s="693"/>
      <c r="BC28" s="693"/>
      <c r="BD28" s="51"/>
      <c r="BE28" s="3"/>
      <c r="BF28" s="94"/>
      <c r="BG28" s="94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</row>
    <row r="29" spans="1:86" ht="16.5" customHeight="1">
      <c r="A29" s="92"/>
      <c r="B29" s="92"/>
      <c r="C29" s="92"/>
      <c r="D29" s="92"/>
      <c r="E29" s="94"/>
      <c r="F29" s="3"/>
      <c r="G29" s="3"/>
      <c r="H29" s="3"/>
      <c r="I29" s="3"/>
      <c r="J29" s="3"/>
      <c r="K29" s="89"/>
      <c r="L29" s="89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699"/>
      <c r="AH29" s="699"/>
      <c r="AI29" s="699"/>
      <c r="AJ29" s="700"/>
      <c r="AK29" s="700"/>
      <c r="AL29" s="700"/>
      <c r="AM29" s="3"/>
      <c r="AN29" s="3"/>
      <c r="AO29" s="3"/>
      <c r="AP29" s="50"/>
      <c r="AQ29" s="693"/>
      <c r="AR29" s="693"/>
      <c r="AS29" s="693"/>
      <c r="AT29" s="693"/>
      <c r="AU29" s="693"/>
      <c r="AV29" s="693"/>
      <c r="AW29" s="693"/>
      <c r="AX29" s="693"/>
      <c r="AY29" s="693"/>
      <c r="AZ29" s="693"/>
      <c r="BA29" s="693"/>
      <c r="BB29" s="693"/>
      <c r="BC29" s="693"/>
      <c r="BD29" s="51"/>
      <c r="BE29" s="3"/>
      <c r="BF29" s="94"/>
      <c r="BG29" s="94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</row>
    <row r="30" spans="1:86" ht="16.5" customHeight="1">
      <c r="A30" s="300" t="s">
        <v>193</v>
      </c>
      <c r="B30" s="114"/>
      <c r="C30" s="114"/>
      <c r="D30" s="114"/>
      <c r="E30" s="94"/>
      <c r="F30" s="3"/>
      <c r="G30" s="3"/>
      <c r="H30" s="3"/>
      <c r="I30" s="3"/>
      <c r="J30" s="3"/>
      <c r="K30" s="89"/>
      <c r="L30" s="89"/>
      <c r="M30" s="17"/>
      <c r="N30" s="11"/>
      <c r="O30" s="3"/>
      <c r="P30" s="3"/>
      <c r="Q30" s="17"/>
      <c r="R30" s="1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26"/>
      <c r="AH30" s="3"/>
      <c r="AI30" s="3"/>
      <c r="AJ30" s="3"/>
      <c r="AK30" s="3"/>
      <c r="AL30" s="3"/>
      <c r="AM30" s="3"/>
      <c r="AN30" s="3"/>
      <c r="AO30" s="3"/>
      <c r="AP30" s="50"/>
      <c r="AQ30" s="693"/>
      <c r="AR30" s="693"/>
      <c r="AS30" s="693"/>
      <c r="AT30" s="693"/>
      <c r="AU30" s="693"/>
      <c r="AV30" s="693"/>
      <c r="AW30" s="693"/>
      <c r="AX30" s="693"/>
      <c r="AY30" s="693"/>
      <c r="AZ30" s="693"/>
      <c r="BA30" s="693"/>
      <c r="BB30" s="693"/>
      <c r="BC30" s="693"/>
      <c r="BD30" s="51"/>
      <c r="BE30" s="3"/>
      <c r="BF30" s="94"/>
      <c r="BG30" s="94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</row>
    <row r="31" spans="1:86" ht="16.5" customHeight="1">
      <c r="A31" s="214" t="s">
        <v>194</v>
      </c>
      <c r="B31" s="114"/>
      <c r="C31" s="114"/>
      <c r="D31" s="114"/>
      <c r="E31" s="94"/>
      <c r="F31" s="3"/>
      <c r="G31" s="3"/>
      <c r="H31" s="3"/>
      <c r="I31" s="3"/>
      <c r="J31" s="3"/>
      <c r="K31" s="89"/>
      <c r="L31" s="89"/>
      <c r="M31" s="19"/>
      <c r="N31" s="3"/>
      <c r="O31" s="3"/>
      <c r="P31" s="3"/>
      <c r="Q31" s="19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684">
        <f>VLOOKUP($C$5,Data!$B$4:$L$7,10)</f>
        <v>9</v>
      </c>
      <c r="AI31" s="684"/>
      <c r="AJ31" s="3"/>
      <c r="AK31" s="3"/>
      <c r="AL31" s="3"/>
      <c r="AM31" s="3"/>
      <c r="AN31" s="3"/>
      <c r="AO31" s="3"/>
      <c r="AP31" s="50"/>
      <c r="AQ31" s="693"/>
      <c r="AR31" s="693"/>
      <c r="AS31" s="693"/>
      <c r="AT31" s="693"/>
      <c r="AU31" s="693"/>
      <c r="AV31" s="693"/>
      <c r="AW31" s="693"/>
      <c r="AX31" s="693"/>
      <c r="AY31" s="693"/>
      <c r="AZ31" s="693"/>
      <c r="BA31" s="693"/>
      <c r="BB31" s="693"/>
      <c r="BC31" s="693"/>
      <c r="BD31" s="51"/>
      <c r="BE31" s="3"/>
      <c r="BF31" s="94"/>
      <c r="BG31" s="94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</row>
    <row r="32" spans="1:86" ht="16.5" customHeight="1">
      <c r="A32" s="92"/>
      <c r="B32" s="92"/>
      <c r="C32" s="92"/>
      <c r="D32" s="92"/>
      <c r="E32" s="94"/>
      <c r="F32" s="3"/>
      <c r="G32" s="43"/>
      <c r="H32" s="9"/>
      <c r="I32" s="3"/>
      <c r="J32" s="3"/>
      <c r="K32" s="91"/>
      <c r="L32" s="91"/>
      <c r="M32" s="245"/>
      <c r="N32" s="91"/>
      <c r="O32" s="91"/>
      <c r="P32" s="43"/>
      <c r="Q32" s="42"/>
      <c r="R32" s="91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50"/>
      <c r="AQ32" s="693"/>
      <c r="AR32" s="693"/>
      <c r="AS32" s="693"/>
      <c r="AT32" s="693"/>
      <c r="AU32" s="693"/>
      <c r="AV32" s="693"/>
      <c r="AW32" s="693"/>
      <c r="AX32" s="693"/>
      <c r="AY32" s="693"/>
      <c r="AZ32" s="693"/>
      <c r="BA32" s="693"/>
      <c r="BB32" s="693"/>
      <c r="BC32" s="693"/>
      <c r="BD32" s="51"/>
      <c r="BE32" s="3"/>
      <c r="BF32" s="94"/>
      <c r="BG32" s="94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</row>
    <row r="33" spans="1:86" ht="16.5" customHeight="1">
      <c r="A33" s="715" t="s">
        <v>261</v>
      </c>
      <c r="B33" s="715"/>
      <c r="C33" s="715"/>
      <c r="D33" s="715"/>
      <c r="E33" s="94"/>
      <c r="F33" s="3"/>
      <c r="G33" s="39"/>
      <c r="H33" s="39"/>
      <c r="I33" s="39"/>
      <c r="J33" s="39"/>
      <c r="K33" s="694">
        <f>VLOOKUP($C$5,Data!$B$4:$L$7,9)</f>
        <v>12</v>
      </c>
      <c r="L33" s="694"/>
      <c r="M33" s="91"/>
      <c r="N33" s="91"/>
      <c r="O33" s="91"/>
      <c r="P33" s="43"/>
      <c r="Q33" s="42"/>
      <c r="R33" s="91"/>
      <c r="S33" s="684">
        <f>Y14</f>
        <v>9</v>
      </c>
      <c r="T33" s="684"/>
      <c r="U33" s="3"/>
      <c r="V33" s="3"/>
      <c r="W33" s="3"/>
      <c r="X33" s="3"/>
      <c r="Y33" s="3"/>
      <c r="Z33" s="3"/>
      <c r="AA33" s="3"/>
      <c r="AB33" s="695">
        <f>L10</f>
        <v>100.5</v>
      </c>
      <c r="AC33" s="695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50"/>
      <c r="AQ33" s="693"/>
      <c r="AR33" s="693"/>
      <c r="AS33" s="693"/>
      <c r="AT33" s="693"/>
      <c r="AU33" s="693"/>
      <c r="AV33" s="693"/>
      <c r="AW33" s="693"/>
      <c r="AX33" s="693"/>
      <c r="AY33" s="693"/>
      <c r="AZ33" s="693"/>
      <c r="BA33" s="693"/>
      <c r="BB33" s="693"/>
      <c r="BC33" s="693"/>
      <c r="BD33" s="51"/>
      <c r="BE33" s="3"/>
      <c r="BF33" s="94"/>
      <c r="BG33" s="94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</row>
    <row r="34" spans="1:86" ht="16.5" customHeight="1">
      <c r="A34" s="715"/>
      <c r="B34" s="715"/>
      <c r="C34" s="715"/>
      <c r="D34" s="715"/>
      <c r="E34" s="94"/>
      <c r="F34" s="3"/>
      <c r="G34" s="91"/>
      <c r="H34" s="91"/>
      <c r="I34" s="3"/>
      <c r="J34" s="3"/>
      <c r="K34" s="89"/>
      <c r="L34" s="3"/>
      <c r="M34" s="3"/>
      <c r="N34" s="3"/>
      <c r="O34" s="3"/>
      <c r="P34" s="91"/>
      <c r="Q34" s="91"/>
      <c r="R34" s="91"/>
      <c r="S34" s="3"/>
      <c r="T34" s="681">
        <f>Y15</f>
        <v>92.5</v>
      </c>
      <c r="U34" s="681"/>
      <c r="V34" s="681"/>
      <c r="W34" s="697" t="s">
        <v>199</v>
      </c>
      <c r="X34" s="697"/>
      <c r="Y34" s="697"/>
      <c r="Z34" s="697"/>
      <c r="AA34" s="697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50"/>
      <c r="AQ34" s="693"/>
      <c r="AR34" s="693"/>
      <c r="AS34" s="693"/>
      <c r="AT34" s="693"/>
      <c r="AU34" s="693"/>
      <c r="AV34" s="693"/>
      <c r="AW34" s="693"/>
      <c r="AX34" s="693"/>
      <c r="AY34" s="693"/>
      <c r="AZ34" s="693"/>
      <c r="BA34" s="693"/>
      <c r="BB34" s="693"/>
      <c r="BC34" s="693"/>
      <c r="BD34" s="51"/>
      <c r="BE34" s="3"/>
      <c r="BF34" s="94"/>
      <c r="BG34" s="94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</row>
    <row r="35" spans="1:86" ht="16.5" customHeight="1">
      <c r="A35" s="114"/>
      <c r="B35" s="114"/>
      <c r="C35" s="114"/>
      <c r="D35" s="114"/>
      <c r="E35" s="94"/>
      <c r="F35" s="3"/>
      <c r="G35" s="3"/>
      <c r="H35" s="3"/>
      <c r="I35" s="34" t="s">
        <v>44</v>
      </c>
      <c r="J35" s="3"/>
      <c r="K35" s="89"/>
      <c r="L35" s="8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50"/>
      <c r="AQ35" s="693"/>
      <c r="AR35" s="693"/>
      <c r="AS35" s="693"/>
      <c r="AT35" s="693"/>
      <c r="AU35" s="693"/>
      <c r="AV35" s="693"/>
      <c r="AW35" s="693"/>
      <c r="AX35" s="693"/>
      <c r="AY35" s="693"/>
      <c r="AZ35" s="693"/>
      <c r="BA35" s="693"/>
      <c r="BB35" s="693"/>
      <c r="BC35" s="693"/>
      <c r="BD35" s="51"/>
      <c r="BE35" s="3"/>
      <c r="BF35" s="94"/>
      <c r="BG35" s="94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</row>
    <row r="36" spans="1:86" ht="16.5" customHeight="1">
      <c r="A36" s="114"/>
      <c r="B36" s="114"/>
      <c r="C36" s="114"/>
      <c r="D36" s="114"/>
      <c r="E36" s="94"/>
      <c r="F36" s="3"/>
      <c r="G36" s="3"/>
      <c r="H36" s="3"/>
      <c r="I36" s="3"/>
      <c r="J36" s="3"/>
      <c r="K36" s="89"/>
      <c r="L36" s="89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52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53"/>
      <c r="BE36" s="3"/>
      <c r="BF36" s="94"/>
      <c r="BG36" s="94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</row>
    <row r="37" spans="1:86" ht="16.5" customHeight="1">
      <c r="A37" s="92"/>
      <c r="B37" s="92"/>
      <c r="C37" s="92"/>
      <c r="D37" s="92"/>
      <c r="E37" s="94"/>
      <c r="F37" s="3"/>
      <c r="H37" s="679" t="s">
        <v>200</v>
      </c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79"/>
      <c r="AC37" s="679"/>
      <c r="AD37" s="679"/>
      <c r="AE37" s="679"/>
      <c r="AF37" s="679"/>
      <c r="AG37" s="257"/>
      <c r="AH37" s="257"/>
      <c r="AI37" s="257"/>
      <c r="AJ37" s="257"/>
      <c r="AK37" s="257"/>
      <c r="AL37" s="257"/>
      <c r="AM37" s="257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94"/>
      <c r="BG37" s="94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</row>
    <row r="38" spans="1:86" ht="16.5" customHeight="1">
      <c r="A38" s="92"/>
      <c r="B38" s="92"/>
      <c r="C38" s="92"/>
      <c r="D38" s="92"/>
      <c r="E38" s="94"/>
      <c r="F38" s="3"/>
      <c r="G38" s="3"/>
      <c r="H38" s="679"/>
      <c r="I38" s="679"/>
      <c r="J38" s="679"/>
      <c r="K38" s="679"/>
      <c r="L38" s="679"/>
      <c r="M38" s="679"/>
      <c r="N38" s="679"/>
      <c r="O38" s="679"/>
      <c r="P38" s="679"/>
      <c r="Q38" s="679"/>
      <c r="R38" s="679"/>
      <c r="S38" s="679"/>
      <c r="T38" s="679"/>
      <c r="U38" s="679"/>
      <c r="V38" s="679"/>
      <c r="W38" s="679"/>
      <c r="X38" s="679"/>
      <c r="Y38" s="679"/>
      <c r="Z38" s="679"/>
      <c r="AA38" s="679"/>
      <c r="AB38" s="679"/>
      <c r="AC38" s="679"/>
      <c r="AD38" s="679"/>
      <c r="AE38" s="679"/>
      <c r="AF38" s="679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94"/>
      <c r="BG38" s="94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</row>
    <row r="39" spans="1:86" ht="16.5" customHeight="1">
      <c r="A39" s="92"/>
      <c r="B39" s="92"/>
      <c r="C39" s="92"/>
      <c r="D39" s="92"/>
      <c r="E39" s="94"/>
      <c r="F39" s="3"/>
      <c r="G39" s="20"/>
      <c r="H39" s="3"/>
      <c r="I39" s="3"/>
      <c r="J39" s="3"/>
      <c r="K39" s="89"/>
      <c r="L39" s="89"/>
      <c r="M39" s="3"/>
      <c r="N39" s="3"/>
      <c r="O39" s="3"/>
      <c r="P39" s="3"/>
      <c r="Q39" s="3"/>
      <c r="R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94"/>
      <c r="BG39" s="94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</row>
    <row r="40" spans="1:86" ht="16.5" customHeight="1">
      <c r="A40" s="92"/>
      <c r="B40" s="92"/>
      <c r="C40" s="92"/>
      <c r="D40" s="92"/>
      <c r="E40" s="94"/>
      <c r="F40" s="3"/>
      <c r="G40" s="44"/>
      <c r="H40" s="3"/>
      <c r="I40" s="3"/>
      <c r="J40" s="3"/>
      <c r="K40" s="89"/>
      <c r="L40" s="89"/>
      <c r="M40" s="3"/>
      <c r="N40" s="3"/>
      <c r="O40" s="3"/>
      <c r="P40" s="3"/>
      <c r="Q40" s="3"/>
      <c r="R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696">
        <f>O16+O17/12+S52+P51/12+Q55</f>
        <v>55.824999999999996</v>
      </c>
      <c r="AH40" s="696"/>
      <c r="AI40" s="696"/>
      <c r="AJ40" s="39" t="s">
        <v>13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94"/>
      <c r="BG40" s="94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</row>
    <row r="41" spans="1:86" ht="16.5" customHeight="1">
      <c r="A41" s="92"/>
      <c r="B41" s="92"/>
      <c r="C41" s="92"/>
      <c r="D41" s="92"/>
      <c r="E41" s="94"/>
      <c r="F41" s="3"/>
      <c r="G41" s="7"/>
      <c r="H41" s="3"/>
      <c r="I41" s="3"/>
      <c r="J41" s="3"/>
      <c r="K41" s="89"/>
      <c r="L41" s="89"/>
      <c r="M41" s="3"/>
      <c r="N41" s="3"/>
      <c r="O41" s="3"/>
      <c r="P41" s="3"/>
      <c r="Q41" s="3"/>
      <c r="R41" s="89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94"/>
      <c r="BG41" s="94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</row>
    <row r="42" spans="1:86" ht="16.5" customHeight="1">
      <c r="A42" s="92"/>
      <c r="B42" s="92"/>
      <c r="C42" s="92"/>
      <c r="D42" s="92"/>
      <c r="E42" s="94"/>
      <c r="F42" s="3"/>
      <c r="G42" s="110"/>
      <c r="H42" s="111"/>
      <c r="I42" s="70"/>
      <c r="J42" s="72"/>
      <c r="K42" s="71"/>
      <c r="L42" s="71"/>
      <c r="M42" s="72"/>
      <c r="N42" s="72"/>
      <c r="O42" s="72"/>
      <c r="P42" s="72"/>
      <c r="Q42" s="72"/>
      <c r="R42" s="71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3"/>
      <c r="BB42" s="3"/>
      <c r="BC42" s="3"/>
      <c r="BD42" s="3"/>
      <c r="BE42" s="3"/>
      <c r="BF42" s="94"/>
      <c r="BG42" s="94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</row>
    <row r="43" spans="1:86" ht="16.5" customHeight="1">
      <c r="A43" s="92"/>
      <c r="B43" s="92"/>
      <c r="C43" s="92"/>
      <c r="D43" s="92"/>
      <c r="E43" s="94"/>
      <c r="F43" s="3"/>
      <c r="G43" s="110"/>
      <c r="H43" s="112"/>
      <c r="I43" s="74"/>
      <c r="J43" s="61"/>
      <c r="K43" s="61"/>
      <c r="L43" s="61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76">
        <f>C27</f>
        <v>10</v>
      </c>
      <c r="AB43" s="676"/>
      <c r="AC43" s="698" t="s">
        <v>45</v>
      </c>
      <c r="AD43" s="698"/>
      <c r="AE43" s="698"/>
      <c r="AF43" s="698"/>
      <c r="AG43" s="698"/>
      <c r="AH43" s="698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75"/>
      <c r="BB43" s="3"/>
      <c r="BC43" s="3"/>
      <c r="BD43" s="3"/>
      <c r="BE43" s="3"/>
      <c r="BF43" s="94"/>
      <c r="BG43" s="94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</row>
    <row r="44" spans="1:86" ht="16.5" customHeight="1">
      <c r="A44" s="92"/>
      <c r="B44" s="92"/>
      <c r="C44" s="92"/>
      <c r="D44" s="92"/>
      <c r="E44" s="94"/>
      <c r="F44" s="3"/>
      <c r="G44" s="110"/>
      <c r="H44" s="112"/>
      <c r="I44" s="74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76"/>
      <c r="AB44" s="676"/>
      <c r="AC44" s="698"/>
      <c r="AD44" s="698"/>
      <c r="AE44" s="698"/>
      <c r="AF44" s="698"/>
      <c r="AG44" s="698"/>
      <c r="AH44" s="698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75"/>
      <c r="BB44" s="3"/>
      <c r="BC44" s="3"/>
      <c r="BD44" s="3"/>
      <c r="BE44" s="3"/>
      <c r="BF44" s="94"/>
      <c r="BG44" s="94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</row>
    <row r="45" spans="1:86" ht="16.5" customHeight="1">
      <c r="A45" s="92"/>
      <c r="B45" s="92"/>
      <c r="C45" s="92"/>
      <c r="D45" s="92"/>
      <c r="E45" s="94"/>
      <c r="F45" s="3"/>
      <c r="G45" s="110"/>
      <c r="H45" s="112"/>
      <c r="I45" s="74"/>
      <c r="J45" s="61"/>
      <c r="K45" s="61"/>
      <c r="L45" s="61"/>
      <c r="M45" s="62"/>
      <c r="N45" s="62"/>
      <c r="O45" s="62"/>
      <c r="P45" s="62"/>
      <c r="Q45" s="62"/>
      <c r="R45" s="64"/>
      <c r="S45" s="64"/>
      <c r="T45" s="64"/>
      <c r="U45" s="65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6">
        <f>O17</f>
        <v>12</v>
      </c>
      <c r="AZ45" s="66" t="s">
        <v>8</v>
      </c>
      <c r="BA45" s="75"/>
      <c r="BB45" s="3"/>
      <c r="BC45" s="3"/>
      <c r="BD45" s="3"/>
      <c r="BE45" s="3"/>
      <c r="BF45" s="94"/>
      <c r="BG45" s="94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</row>
    <row r="46" spans="1:86" ht="16.5" customHeight="1">
      <c r="A46" s="92"/>
      <c r="B46" s="92"/>
      <c r="C46" s="92"/>
      <c r="D46" s="92"/>
      <c r="E46" s="94"/>
      <c r="F46" s="3"/>
      <c r="G46" s="110"/>
      <c r="H46" s="112"/>
      <c r="I46" s="74"/>
      <c r="J46" s="61"/>
      <c r="K46" s="61"/>
      <c r="L46" s="61"/>
      <c r="M46" s="62"/>
      <c r="N46" s="62"/>
      <c r="O46" s="62"/>
      <c r="P46" s="62"/>
      <c r="Q46" s="62"/>
      <c r="R46" s="680">
        <f>O14</f>
        <v>48.3</v>
      </c>
      <c r="S46" s="680"/>
      <c r="T46" s="101" t="s">
        <v>8</v>
      </c>
      <c r="U46" s="100" t="s">
        <v>46</v>
      </c>
      <c r="V46" s="99"/>
      <c r="W46" s="66"/>
      <c r="X46" s="66"/>
      <c r="Y46" s="66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735" t="s">
        <v>46</v>
      </c>
      <c r="AZ46" s="735"/>
      <c r="BA46" s="75"/>
      <c r="BB46" s="3"/>
      <c r="BC46" s="3"/>
      <c r="BD46" s="3"/>
      <c r="BE46" s="3"/>
      <c r="BF46" s="94"/>
      <c r="BG46" s="94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</row>
    <row r="47" spans="1:86" ht="16.5" customHeight="1">
      <c r="A47" s="92"/>
      <c r="B47" s="92"/>
      <c r="C47" s="92"/>
      <c r="D47" s="92"/>
      <c r="E47" s="94"/>
      <c r="F47" s="3"/>
      <c r="G47" s="110"/>
      <c r="H47" s="112"/>
      <c r="I47" s="74"/>
      <c r="J47" s="61"/>
      <c r="K47" s="61"/>
      <c r="L47" s="61"/>
      <c r="M47" s="68"/>
      <c r="N47" s="62"/>
      <c r="O47" s="62"/>
      <c r="P47" s="62"/>
      <c r="Q47" s="62"/>
      <c r="R47" s="64"/>
      <c r="S47" s="64"/>
      <c r="T47" s="64"/>
      <c r="U47" s="99"/>
      <c r="V47" s="99"/>
      <c r="W47" s="62"/>
      <c r="X47" s="62"/>
      <c r="Y47" s="168"/>
      <c r="Z47" s="171"/>
      <c r="AA47" s="171"/>
      <c r="AB47" s="171"/>
      <c r="AC47" s="171"/>
      <c r="AD47" s="171"/>
      <c r="AE47" s="171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75"/>
      <c r="BB47" s="3"/>
      <c r="BC47" s="3"/>
      <c r="BD47" s="3"/>
      <c r="BE47" s="3"/>
      <c r="BF47" s="94"/>
      <c r="BG47" s="94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</row>
    <row r="48" spans="1:86" ht="16.5" customHeight="1">
      <c r="A48" s="92"/>
      <c r="B48" s="92"/>
      <c r="C48" s="92"/>
      <c r="D48" s="92"/>
      <c r="E48" s="94"/>
      <c r="F48" s="3"/>
      <c r="G48" s="110"/>
      <c r="H48" s="112"/>
      <c r="I48" s="74"/>
      <c r="J48" s="61"/>
      <c r="K48" s="61"/>
      <c r="L48" s="764" t="str">
        <f>IF(C5=1,VLOOKUP(C15,Data!D106:P134,2),IF(C5=2,VLOOKUP(C17,Data!D13:P85,2),IF(C5=3,VLOOKUP(C19,Data!Q13:AC90,2),VLOOKUP(C21,Data!Q106:AC190,2))))</f>
        <v>48" x 30"</v>
      </c>
      <c r="M48" s="764"/>
      <c r="N48" s="764"/>
      <c r="O48" s="735" t="s">
        <v>154</v>
      </c>
      <c r="P48" s="735"/>
      <c r="Q48" s="735"/>
      <c r="R48" s="735"/>
      <c r="S48" s="224">
        <f>IF(C23=1,C13,ROUND(0.5*C13,0))</f>
        <v>3</v>
      </c>
      <c r="T48" s="224" t="s">
        <v>155</v>
      </c>
      <c r="U48" s="62"/>
      <c r="V48" s="168"/>
      <c r="W48" s="168"/>
      <c r="X48" s="168"/>
      <c r="Y48" s="171"/>
      <c r="Z48" s="171"/>
      <c r="AA48" s="171"/>
      <c r="AB48" s="171"/>
      <c r="AC48" s="171"/>
      <c r="AD48" s="171"/>
      <c r="AE48" s="171"/>
      <c r="AF48" s="62"/>
      <c r="AG48" s="62"/>
      <c r="AH48" s="62"/>
      <c r="AI48" s="62"/>
      <c r="AJ48" s="682" t="s">
        <v>156</v>
      </c>
      <c r="AK48" s="682"/>
      <c r="AL48" s="682"/>
      <c r="AM48" s="682"/>
      <c r="AN48" s="682"/>
      <c r="AO48" s="682"/>
      <c r="AP48" s="682"/>
      <c r="AQ48" s="682"/>
      <c r="AR48" s="682"/>
      <c r="AS48" s="682"/>
      <c r="AT48" s="683">
        <f>Y15*M20</f>
        <v>5163.8125</v>
      </c>
      <c r="AU48" s="683"/>
      <c r="AV48" s="683"/>
      <c r="AW48" s="69" t="s">
        <v>47</v>
      </c>
      <c r="AX48" s="62"/>
      <c r="AY48" s="62"/>
      <c r="AZ48" s="62"/>
      <c r="BA48" s="75"/>
      <c r="BB48" s="3"/>
      <c r="BC48" s="3"/>
      <c r="BD48" s="3"/>
      <c r="BE48" s="3"/>
      <c r="BF48" s="94"/>
      <c r="BG48" s="94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</row>
    <row r="49" spans="1:86" ht="16.5" customHeight="1">
      <c r="A49" s="92"/>
      <c r="B49" s="92"/>
      <c r="C49" s="92"/>
      <c r="D49" s="92"/>
      <c r="E49" s="94"/>
      <c r="F49" s="3"/>
      <c r="G49" s="110"/>
      <c r="H49" s="112"/>
      <c r="I49" s="74"/>
      <c r="J49" s="61"/>
      <c r="K49" s="61"/>
      <c r="L49" s="61"/>
      <c r="M49" s="173"/>
      <c r="N49" s="173"/>
      <c r="O49" s="173"/>
      <c r="P49" s="732" t="s">
        <v>72</v>
      </c>
      <c r="Q49" s="732"/>
      <c r="R49" s="732"/>
      <c r="S49" s="732" t="s">
        <v>73</v>
      </c>
      <c r="T49" s="732"/>
      <c r="U49" s="62"/>
      <c r="V49" s="168"/>
      <c r="W49" s="168"/>
      <c r="X49" s="66"/>
      <c r="Y49" s="66"/>
      <c r="Z49" s="168"/>
      <c r="AA49" s="168"/>
      <c r="AB49" s="168"/>
      <c r="AC49" s="168"/>
      <c r="AD49" s="168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172"/>
      <c r="AR49" s="172"/>
      <c r="AS49" s="172"/>
      <c r="AT49" s="172"/>
      <c r="AU49" s="172"/>
      <c r="AV49" s="172"/>
      <c r="AW49" s="172"/>
      <c r="AX49" s="62"/>
      <c r="AY49" s="62"/>
      <c r="AZ49" s="62"/>
      <c r="BA49" s="75"/>
      <c r="BB49" s="3"/>
      <c r="BC49" s="3"/>
      <c r="BD49" s="3"/>
      <c r="BE49" s="3"/>
      <c r="BF49" s="94"/>
      <c r="BG49" s="94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</row>
    <row r="50" spans="1:86" ht="16.5" customHeight="1">
      <c r="A50" s="92"/>
      <c r="B50" s="92"/>
      <c r="C50" s="92"/>
      <c r="D50" s="92"/>
      <c r="E50" s="94"/>
      <c r="F50" s="94"/>
      <c r="G50" s="94"/>
      <c r="H50" s="94"/>
      <c r="I50" s="74"/>
      <c r="J50" s="61"/>
      <c r="K50" s="61"/>
      <c r="L50" s="220" t="s">
        <v>152</v>
      </c>
      <c r="M50" s="218"/>
      <c r="N50" s="218"/>
      <c r="O50" s="170"/>
      <c r="P50" s="730">
        <f>IF(C5=1,VLOOKUP(C15,Data!D106:P134,5),IF(C5=2,VLOOKUP(C17,Data!D13:P85,5),IF(C5=3,VLOOKUP(C19,Data!Q13:AC90,5),VLOOKUP(C21,Data!Q106:AC190,5))))</f>
        <v>48</v>
      </c>
      <c r="Q50" s="730"/>
      <c r="R50" s="219"/>
      <c r="S50" s="730">
        <f>IF(C5=1,VLOOKUP(C15,Data!D106:P134,6),IF(C5=2,VLOOKUP(C17,Data!D13:P85,6),IF(C5=3,VLOOKUP(C19,Data!Q13:AC90,6),VLOOKUP(C21,Data!Q106:AC190,6))))</f>
        <v>30</v>
      </c>
      <c r="T50" s="730"/>
      <c r="U50" s="218"/>
      <c r="V50" s="168"/>
      <c r="W50" s="168"/>
      <c r="X50" s="168"/>
      <c r="Y50" s="168"/>
      <c r="Z50" s="168"/>
      <c r="AA50" s="168"/>
      <c r="AB50" s="168"/>
      <c r="AC50" s="168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75"/>
      <c r="BB50" s="741">
        <f>(Y13*L10+(Y13-1)*Y14)/12</f>
        <v>90.5</v>
      </c>
      <c r="BC50" s="681"/>
      <c r="BD50" s="681"/>
      <c r="BE50" s="40" t="s">
        <v>13</v>
      </c>
      <c r="BF50" s="94"/>
      <c r="BG50" s="94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</row>
    <row r="51" spans="1:86" ht="16.5" customHeight="1">
      <c r="A51" s="92"/>
      <c r="B51" s="92"/>
      <c r="C51" s="92"/>
      <c r="D51" s="92"/>
      <c r="E51" s="94"/>
      <c r="F51" s="3"/>
      <c r="G51" s="110"/>
      <c r="H51" s="112"/>
      <c r="I51" s="74"/>
      <c r="J51" s="61"/>
      <c r="K51" s="61"/>
      <c r="L51" s="221" t="s">
        <v>153</v>
      </c>
      <c r="M51" s="62"/>
      <c r="N51" s="62"/>
      <c r="O51" s="173"/>
      <c r="P51" s="731">
        <f>IF(C5=1,VLOOKUP(C15,Data!D106:P134,9),IF(C5=2,VLOOKUP(C17,Data!D13:P85,9),IF(C5=3,VLOOKUP(C19,Data!Q13:AC90,9),VLOOKUP(C21,Data!Q106:AC190,9))))</f>
        <v>54.48</v>
      </c>
      <c r="Q51" s="731"/>
      <c r="R51" s="175"/>
      <c r="S51" s="731">
        <f>IF(C5=1,VLOOKUP(C15,Data!D106:P134,10),IF(C5=2,VLOOKUP(C17,Data!D13:P85,10),IF(C5=3,VLOOKUP(C19,Data!Q13:AC90,10),VLOOKUP(C21,Data!Q106:AC190,10))))</f>
        <v>34.89</v>
      </c>
      <c r="T51" s="731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82">
        <f>C8</f>
        <v>10</v>
      </c>
      <c r="AH51" s="682"/>
      <c r="AI51" s="63" t="s">
        <v>48</v>
      </c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75"/>
      <c r="BB51" s="3"/>
      <c r="BC51" s="3"/>
      <c r="BD51" s="3"/>
      <c r="BE51" s="3"/>
      <c r="BF51" s="94"/>
      <c r="BG51" s="94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</row>
    <row r="52" spans="1:86" ht="16.5" customHeight="1">
      <c r="A52" s="92"/>
      <c r="B52" s="92"/>
      <c r="C52" s="92"/>
      <c r="D52" s="92"/>
      <c r="E52" s="94"/>
      <c r="F52" s="3"/>
      <c r="G52" s="110"/>
      <c r="H52" s="112"/>
      <c r="I52" s="74"/>
      <c r="J52" s="61"/>
      <c r="K52" s="61"/>
      <c r="L52" s="221" t="s">
        <v>151</v>
      </c>
      <c r="M52" s="62"/>
      <c r="N52" s="62"/>
      <c r="O52" s="173"/>
      <c r="P52" s="731">
        <f>E54</f>
        <v>48.532499999999999</v>
      </c>
      <c r="Q52" s="731"/>
      <c r="R52" s="175"/>
      <c r="S52" s="731">
        <f>IF(C5=1,VLOOKUP(C15,Data!D106:P134,4)/12-1,IF(C5=2,VLOOKUP(C17,Data!D13:P85,4)/12-1,IF(C5=3,VLOOKUP(C19,Data!Q13:AC90,4)/12-1,VLOOKUP(C21,Data!Q106:AC190,4)/12-1)))</f>
        <v>3</v>
      </c>
      <c r="T52" s="731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75"/>
      <c r="BC52" s="109"/>
      <c r="BD52" s="740">
        <f>(Y13*L10+(Y13-1)*Y14+2*K33)/12</f>
        <v>92.5</v>
      </c>
      <c r="BE52" s="740"/>
      <c r="BF52" s="740"/>
      <c r="BG52" s="10" t="s">
        <v>13</v>
      </c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</row>
    <row r="53" spans="1:86" ht="16.5" customHeight="1">
      <c r="A53" s="92"/>
      <c r="B53" s="92"/>
      <c r="C53" s="92"/>
      <c r="D53" s="92"/>
      <c r="E53" s="94"/>
      <c r="F53" s="3"/>
      <c r="G53" s="110"/>
      <c r="H53" s="112"/>
      <c r="I53" s="74"/>
      <c r="J53" s="61"/>
      <c r="K53" s="61"/>
      <c r="L53" s="222" t="s">
        <v>157</v>
      </c>
      <c r="M53" s="173"/>
      <c r="N53" s="173"/>
      <c r="O53" s="173"/>
      <c r="P53" s="733">
        <f>IF(C5=1,VLOOKUP(C15,Data!D106:P134,7),IF(C5=2,VLOOKUP(C17,Data!D13:P85,7),IF(C5=3,VLOOKUP(C19,Data!Q13:AC90,7),VLOOKUP(C21,Data!Q106:AC190,7))))*P52</f>
        <v>609.87738184138652</v>
      </c>
      <c r="Q53" s="733"/>
      <c r="R53" s="175"/>
      <c r="S53" s="733">
        <f>IF(C5=1,VLOOKUP(C15,Data!D106:P134,8),IF(C5=2,VLOOKUP(C17,Data!D13:P85,8),IF(C5=3,VLOOKUP(C19,Data!Q13:AC90,8),VLOOKUP(C21,Data!Q106:AC190,8))))*S52</f>
        <v>14.726215563702155</v>
      </c>
      <c r="T53" s="733"/>
      <c r="U53" s="173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75"/>
      <c r="BB53" s="3"/>
      <c r="BC53" s="3"/>
      <c r="BD53" s="3"/>
      <c r="BE53" s="3"/>
      <c r="BF53" s="94"/>
      <c r="BG53" s="94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</row>
    <row r="54" spans="1:86" ht="16.5" customHeight="1">
      <c r="A54" s="92"/>
      <c r="B54" s="92"/>
      <c r="C54" s="92"/>
      <c r="D54" s="92"/>
      <c r="E54" s="740">
        <f>IF(C5=1,(C13*L10+(C13-1)*Y14-L10+VLOOKUP(C15,Data!D106:P134,10))/12,IF(C5=2,(C13*L10+(C13-1)*Y14-L10+VLOOKUP(C17,Data!D13:P85,10))/12,IF(C5=3,(C13*L10+(C13-1)*Y14-L10+VLOOKUP(C19,Data!Q13:AC90,10))/12,(C13*L10+(C13-1)*Y14-L10+VLOOKUP(C21,Data!Q106:AC190,10))/12)))</f>
        <v>48.532499999999999</v>
      </c>
      <c r="F54" s="740"/>
      <c r="G54" s="740"/>
      <c r="H54" s="161" t="s">
        <v>13</v>
      </c>
      <c r="I54" s="74"/>
      <c r="J54" s="61"/>
      <c r="K54" s="61"/>
      <c r="L54" s="223" t="s">
        <v>158</v>
      </c>
      <c r="M54" s="174"/>
      <c r="N54" s="174"/>
      <c r="O54" s="174"/>
      <c r="P54" s="734">
        <f>IF(C5=1,VLOOKUP(C15,Data!D106:P134,11),IF(C5=2,VLOOKUP(C17,Data!D13:P85,11),IF(C5=3,VLOOKUP(C19,Data!Q13:AC90,11),VLOOKUP(C21,Data!Q106:AC190,11))))*P52</f>
        <v>785.65929022262003</v>
      </c>
      <c r="Q54" s="734"/>
      <c r="R54" s="176"/>
      <c r="S54" s="734">
        <f>IF(C5=1,VLOOKUP(C15,Data!D106:P134,12),IF(C5=2,VLOOKUP(C17,Data!D13:P85,12),IF(C5=3,VLOOKUP(C19,Data!Q13:AC90,12),VLOOKUP(C21,Data!Q106:AC190,12))))*S52</f>
        <v>19.918222658781065</v>
      </c>
      <c r="T54" s="734"/>
      <c r="U54" s="174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75"/>
      <c r="BB54" s="3"/>
      <c r="BC54" s="3"/>
      <c r="BD54" s="3"/>
      <c r="BE54" s="3"/>
      <c r="BF54" s="94"/>
      <c r="BG54" s="94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</row>
    <row r="55" spans="1:86" ht="16.5" customHeight="1">
      <c r="A55" s="92"/>
      <c r="B55" s="92"/>
      <c r="C55" s="92"/>
      <c r="D55" s="92"/>
      <c r="E55" s="94"/>
      <c r="F55" s="3"/>
      <c r="G55" s="110"/>
      <c r="H55" s="112"/>
      <c r="I55" s="74"/>
      <c r="J55" s="61"/>
      <c r="K55" s="61"/>
      <c r="L55" s="183" t="s">
        <v>167</v>
      </c>
      <c r="M55" s="183"/>
      <c r="N55" s="183"/>
      <c r="O55" s="183"/>
      <c r="P55" s="183"/>
      <c r="Q55" s="768">
        <f>IF(C5=1,VLOOKUP(C15,Data!D106:P134,13),IF(C5=2,VLOOKUP(C17,Data!D13:P85,13),IF(C5=3,VLOOKUP(C19,Data!Q13:AC90,13),VLOOKUP(C21,Data!Q106:AC190,13))))</f>
        <v>1.635</v>
      </c>
      <c r="R55" s="768"/>
      <c r="S55" s="169" t="s">
        <v>13</v>
      </c>
      <c r="T55" s="168"/>
      <c r="U55" s="168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75"/>
      <c r="BB55" s="3"/>
      <c r="BC55" s="3"/>
      <c r="BD55" s="3"/>
      <c r="BE55" s="3"/>
      <c r="BF55" s="94"/>
      <c r="BG55" s="94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</row>
    <row r="56" spans="1:86" ht="16.5" customHeight="1">
      <c r="A56" s="92"/>
      <c r="B56" s="92"/>
      <c r="C56" s="92"/>
      <c r="D56" s="92"/>
      <c r="E56" s="94"/>
      <c r="F56" s="3"/>
      <c r="G56" s="110"/>
      <c r="H56" s="112"/>
      <c r="I56" s="74"/>
      <c r="J56" s="61"/>
      <c r="K56" s="61"/>
      <c r="L56" s="184" t="s">
        <v>168</v>
      </c>
      <c r="M56" s="184"/>
      <c r="N56" s="184"/>
      <c r="O56" s="184"/>
      <c r="P56" s="184"/>
      <c r="Q56" s="769">
        <f>IF(C5=1,VLOOKUP(C15,Data!D106:P134,3),IF(C5=2,VLOOKUP(C17,Data!D13:P85,3),IF(C5=3,VLOOKUP(C19,Data!Q13:AC90,3),VLOOKUP(C21,Data!Q106:AC190,3))))/12-1</f>
        <v>7.5400000000000009</v>
      </c>
      <c r="R56" s="769"/>
      <c r="S56" s="62" t="s">
        <v>13</v>
      </c>
      <c r="T56" s="168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75">
        <f>VLOOKUP($C$5,Data!$B$4:$L$7,5)</f>
        <v>32.4</v>
      </c>
      <c r="AW56" s="675"/>
      <c r="AX56" s="675"/>
      <c r="AY56" s="69" t="s">
        <v>8</v>
      </c>
      <c r="AZ56" s="67" t="s">
        <v>46</v>
      </c>
      <c r="BA56" s="75"/>
      <c r="BB56" s="3"/>
      <c r="BC56" s="3"/>
      <c r="BD56" s="3"/>
      <c r="BE56" s="3"/>
      <c r="BF56" s="94"/>
      <c r="BG56" s="94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</row>
    <row r="57" spans="1:86" ht="16.5" customHeight="1">
      <c r="A57" s="92"/>
      <c r="B57" s="92"/>
      <c r="C57" s="92"/>
      <c r="D57" s="92"/>
      <c r="E57" s="94"/>
      <c r="F57" s="3"/>
      <c r="G57" s="110"/>
      <c r="H57" s="112"/>
      <c r="I57" s="74"/>
      <c r="J57" s="61"/>
      <c r="K57" s="61"/>
      <c r="L57" s="61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75"/>
      <c r="BB57" s="3"/>
      <c r="BC57" s="3"/>
      <c r="BD57" s="3"/>
      <c r="BE57" s="3"/>
      <c r="BF57" s="94"/>
      <c r="BG57" s="94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</row>
    <row r="58" spans="1:86" ht="16.5" customHeight="1">
      <c r="A58" s="92"/>
      <c r="B58" s="92"/>
      <c r="C58" s="92"/>
      <c r="D58" s="92"/>
      <c r="E58" s="94"/>
      <c r="F58" s="3"/>
      <c r="G58" s="110"/>
      <c r="H58" s="112"/>
      <c r="I58" s="74"/>
      <c r="J58" s="61"/>
      <c r="K58" s="61"/>
      <c r="L58" s="61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76">
        <f>C27</f>
        <v>10</v>
      </c>
      <c r="AB58" s="676"/>
      <c r="AC58" s="677" t="s">
        <v>45</v>
      </c>
      <c r="AD58" s="677"/>
      <c r="AE58" s="677"/>
      <c r="AF58" s="677"/>
      <c r="AG58" s="677"/>
      <c r="AH58" s="677"/>
      <c r="AI58" s="677"/>
      <c r="AJ58" s="677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75"/>
      <c r="BB58" s="3"/>
      <c r="BC58" s="3"/>
      <c r="BD58" s="3"/>
      <c r="BE58" s="3"/>
      <c r="BF58" s="94"/>
      <c r="BG58" s="94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</row>
    <row r="59" spans="1:86" ht="16.5" customHeight="1">
      <c r="A59" s="92"/>
      <c r="B59" s="92"/>
      <c r="C59" s="92"/>
      <c r="D59" s="92"/>
      <c r="E59" s="94"/>
      <c r="F59" s="3"/>
      <c r="G59" s="110"/>
      <c r="H59" s="112"/>
      <c r="I59" s="74"/>
      <c r="J59" s="61"/>
      <c r="K59" s="61"/>
      <c r="L59" s="61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76"/>
      <c r="AB59" s="676"/>
      <c r="AC59" s="677"/>
      <c r="AD59" s="677"/>
      <c r="AE59" s="677"/>
      <c r="AF59" s="677"/>
      <c r="AG59" s="677"/>
      <c r="AH59" s="677"/>
      <c r="AI59" s="677"/>
      <c r="AJ59" s="677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75"/>
      <c r="BB59" s="3"/>
      <c r="BC59" s="3"/>
      <c r="BD59" s="3"/>
      <c r="BE59" s="3"/>
      <c r="BF59" s="94"/>
      <c r="BG59" s="94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</row>
    <row r="60" spans="1:86" ht="16.5" customHeight="1">
      <c r="A60" s="92"/>
      <c r="B60" s="92"/>
      <c r="C60" s="92"/>
      <c r="D60" s="92"/>
      <c r="E60" s="94"/>
      <c r="F60" s="3"/>
      <c r="G60" s="110"/>
      <c r="H60" s="111"/>
      <c r="I60" s="76"/>
      <c r="J60" s="78"/>
      <c r="K60" s="77"/>
      <c r="L60" s="77"/>
      <c r="M60" s="78"/>
      <c r="N60" s="78"/>
      <c r="O60" s="78"/>
      <c r="P60" s="79"/>
      <c r="Q60" s="78"/>
      <c r="R60" s="78"/>
      <c r="S60" s="80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81"/>
      <c r="BB60" s="3"/>
      <c r="BC60" s="3"/>
      <c r="BD60" s="3"/>
      <c r="BE60" s="3"/>
      <c r="BF60" s="94"/>
      <c r="BG60" s="94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</row>
    <row r="61" spans="1:86" ht="16.5" customHeight="1">
      <c r="A61" s="92"/>
      <c r="B61" s="92"/>
      <c r="C61" s="92"/>
      <c r="D61" s="92"/>
      <c r="E61" s="94"/>
      <c r="F61" s="3"/>
      <c r="G61" s="3"/>
      <c r="H61" s="3"/>
      <c r="I61" s="765" t="s">
        <v>165</v>
      </c>
      <c r="J61" s="767" t="s">
        <v>166</v>
      </c>
      <c r="K61" s="89"/>
      <c r="L61" s="89"/>
      <c r="M61" s="3"/>
      <c r="N61" s="3"/>
      <c r="O61" s="26"/>
      <c r="P61" s="95">
        <f>K33</f>
        <v>12</v>
      </c>
      <c r="Q61" s="26" t="s">
        <v>8</v>
      </c>
      <c r="R61" s="58" t="s">
        <v>46</v>
      </c>
      <c r="S61" s="58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94"/>
      <c r="BG61" s="94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</row>
    <row r="62" spans="1:86" ht="16.5" customHeight="1">
      <c r="A62" s="92"/>
      <c r="B62" s="92"/>
      <c r="C62" s="92"/>
      <c r="D62" s="92"/>
      <c r="E62" s="94"/>
      <c r="F62" s="3"/>
      <c r="G62" s="3"/>
      <c r="H62" s="3"/>
      <c r="I62" s="766"/>
      <c r="J62" s="721"/>
      <c r="K62" s="89"/>
      <c r="L62" s="89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678">
        <f>(C27*O14+2*O15)/12</f>
        <v>45.65</v>
      </c>
      <c r="AA62" s="678"/>
      <c r="AB62" s="678"/>
      <c r="AC62" s="47" t="s">
        <v>13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94"/>
      <c r="BG62" s="94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</row>
    <row r="63" spans="1:86" ht="16.5" customHeight="1">
      <c r="A63" s="92"/>
      <c r="B63" s="92"/>
      <c r="C63" s="92"/>
      <c r="D63" s="92"/>
      <c r="E63" s="94"/>
      <c r="F63" s="3"/>
      <c r="G63" s="3"/>
      <c r="H63" s="3"/>
      <c r="I63" s="3"/>
      <c r="J63" s="3"/>
      <c r="K63" s="89"/>
      <c r="L63" s="89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94"/>
      <c r="BG63" s="94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</row>
    <row r="64" spans="1:86" ht="16.5" customHeight="1">
      <c r="A64" s="92"/>
      <c r="B64" s="92"/>
      <c r="C64" s="92"/>
      <c r="D64" s="92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</row>
    <row r="65" spans="1:86" ht="16.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</row>
    <row r="66" spans="1:86" ht="16.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</row>
    <row r="67" spans="1:86" ht="16.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</row>
    <row r="68" spans="1:86" ht="16.5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</row>
    <row r="69" spans="1:86" ht="16.5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</row>
    <row r="70" spans="1:86" ht="16.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</row>
    <row r="71" spans="1:86" ht="16.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</row>
    <row r="72" spans="1:86" ht="16.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</row>
    <row r="73" spans="1:86" ht="16.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</row>
    <row r="74" spans="1:86" ht="16.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</row>
    <row r="75" spans="1:86" ht="16.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</row>
    <row r="76" spans="1:86" ht="16.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</row>
    <row r="77" spans="1:86" ht="16.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</row>
    <row r="78" spans="1:86" ht="16.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</row>
    <row r="79" spans="1:86" ht="16.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</row>
    <row r="80" spans="1:86" ht="16.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</row>
    <row r="81" spans="1:86" ht="16.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</row>
    <row r="82" spans="1:86" ht="16.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</row>
    <row r="83" spans="1:86" ht="16.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</row>
    <row r="84" spans="1:86" ht="16.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</row>
    <row r="85" spans="1:86" ht="16.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</row>
    <row r="86" spans="1:86" ht="16.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</row>
    <row r="87" spans="1:86" ht="16.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</row>
    <row r="88" spans="1:86" ht="16.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</row>
    <row r="89" spans="1:86" ht="16.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</row>
    <row r="90" spans="1:86" ht="16.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</row>
    <row r="91" spans="1:86" ht="16.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</row>
    <row r="92" spans="1:86" ht="16.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</row>
    <row r="93" spans="1:86" ht="16.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</row>
    <row r="94" spans="1:86" ht="16.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</row>
    <row r="95" spans="1:86" ht="16.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</row>
    <row r="96" spans="1:86" ht="16.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</row>
    <row r="97" spans="1:86" ht="16.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</row>
    <row r="98" spans="1:86" ht="16.5" customHeight="1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</row>
    <row r="99" spans="1:86" ht="16.5" hidden="1" customHeight="1"/>
    <row r="100" spans="1:86" ht="16.5" hidden="1" customHeight="1"/>
    <row r="101" spans="1:86" ht="16.5" hidden="1" customHeight="1"/>
    <row r="102" spans="1:86" ht="16.5" hidden="1" customHeight="1"/>
    <row r="103" spans="1:86" ht="16.5" hidden="1" customHeight="1"/>
    <row r="104" spans="1:86" ht="16.5" hidden="1" customHeight="1"/>
    <row r="105" spans="1:86" ht="16.5" hidden="1" customHeight="1"/>
    <row r="106" spans="1:86" ht="16.5" hidden="1" customHeight="1"/>
    <row r="107" spans="1:86" ht="16.5" hidden="1" customHeight="1"/>
    <row r="108" spans="1:86" ht="16.5" hidden="1" customHeight="1"/>
    <row r="109" spans="1:86" ht="16.5" hidden="1" customHeight="1"/>
    <row r="110" spans="1:86" ht="16.5" hidden="1" customHeight="1"/>
    <row r="111" spans="1:86" ht="16.5" hidden="1" customHeight="1"/>
    <row r="112" spans="1:86" ht="16.5" hidden="1" customHeight="1"/>
    <row r="113" ht="16.5" hidden="1" customHeight="1"/>
    <row r="114" ht="16.5" hidden="1" customHeight="1"/>
    <row r="115" ht="16.5" hidden="1" customHeight="1"/>
    <row r="116" ht="16.5" hidden="1" customHeight="1"/>
    <row r="117" ht="16.5" hidden="1" customHeight="1"/>
    <row r="118" ht="16.5" hidden="1" customHeight="1"/>
    <row r="119" ht="16.5" hidden="1" customHeight="1"/>
    <row r="120" ht="16.5" hidden="1" customHeight="1"/>
    <row r="121" ht="16.5" hidden="1" customHeight="1"/>
    <row r="122" ht="16.5" hidden="1" customHeight="1"/>
    <row r="123" ht="16.5" hidden="1" customHeight="1"/>
    <row r="124" ht="16.5" hidden="1" customHeight="1"/>
    <row r="125" ht="16.5" hidden="1" customHeight="1"/>
    <row r="126" ht="16.5" hidden="1" customHeight="1"/>
    <row r="127" ht="16.5" hidden="1" customHeight="1"/>
    <row r="128" ht="16.5" hidden="1" customHeight="1"/>
    <row r="129" ht="16.5" hidden="1" customHeight="1"/>
    <row r="130" ht="16.5" hidden="1" customHeight="1"/>
    <row r="131" ht="16.5" hidden="1" customHeight="1"/>
    <row r="132" ht="16.5" hidden="1" customHeight="1"/>
    <row r="133" ht="16.5" hidden="1" customHeight="1"/>
    <row r="134" ht="16.5" hidden="1" customHeight="1"/>
    <row r="135" ht="16.5" hidden="1" customHeight="1"/>
    <row r="136" ht="16.5" hidden="1" customHeight="1"/>
    <row r="137" ht="16.5" hidden="1" customHeight="1"/>
    <row r="138" ht="16.5" hidden="1" customHeight="1"/>
    <row r="139" ht="16.5" hidden="1" customHeight="1"/>
    <row r="140" ht="16.5" hidden="1" customHeight="1"/>
    <row r="141" ht="16.5" hidden="1" customHeight="1"/>
    <row r="142" ht="16.5" hidden="1" customHeight="1"/>
    <row r="143" ht="16.5" hidden="1" customHeight="1"/>
    <row r="144" ht="16.5" hidden="1" customHeight="1"/>
    <row r="145" ht="16.5" hidden="1" customHeight="1"/>
    <row r="146" ht="16.5" hidden="1" customHeight="1"/>
    <row r="147" ht="16.5" hidden="1" customHeight="1"/>
    <row r="148" ht="16.5" hidden="1" customHeight="1"/>
    <row r="149" ht="16.5" hidden="1" customHeight="1"/>
    <row r="150" ht="16.5" hidden="1" customHeight="1"/>
    <row r="151" ht="16.5" hidden="1" customHeight="1"/>
    <row r="152" ht="16.5" hidden="1" customHeight="1"/>
    <row r="153" ht="16.5" hidden="1" customHeight="1"/>
    <row r="154" ht="16.5" hidden="1" customHeight="1"/>
    <row r="155" ht="16.5" hidden="1" customHeight="1"/>
    <row r="156" ht="16.5" hidden="1" customHeight="1"/>
    <row r="157" ht="16.5" hidden="1" customHeight="1"/>
    <row r="158" ht="16.5" hidden="1" customHeight="1"/>
    <row r="159" ht="16.5" hidden="1" customHeight="1"/>
    <row r="160" ht="16.5" hidden="1" customHeight="1"/>
    <row r="161" ht="16.5" hidden="1" customHeight="1"/>
    <row r="162" ht="16.5" hidden="1" customHeight="1"/>
    <row r="163" ht="16.5" hidden="1" customHeight="1"/>
    <row r="164" ht="16.5" hidden="1" customHeight="1"/>
    <row r="165" ht="16.5" hidden="1" customHeight="1"/>
    <row r="166" ht="16.5" hidden="1" customHeight="1"/>
    <row r="167" ht="16.5" hidden="1" customHeight="1"/>
    <row r="168" ht="16.5" hidden="1" customHeight="1"/>
    <row r="169" ht="16.5" hidden="1" customHeight="1"/>
    <row r="170" ht="16.5" hidden="1" customHeight="1"/>
    <row r="171" ht="16.5" hidden="1" customHeight="1"/>
    <row r="172" ht="16.5" hidden="1" customHeight="1"/>
    <row r="173" ht="16.5" hidden="1" customHeight="1"/>
    <row r="174" ht="16.5" hidden="1" customHeight="1"/>
    <row r="175" ht="16.5" hidden="1" customHeight="1"/>
    <row r="176" ht="16.5" hidden="1" customHeight="1"/>
    <row r="177" ht="16.5" hidden="1" customHeight="1"/>
    <row r="178" ht="16.5" hidden="1" customHeight="1"/>
    <row r="179" ht="16.5" hidden="1" customHeight="1"/>
    <row r="180" ht="16.5" hidden="1" customHeight="1"/>
    <row r="181" ht="16.5" hidden="1" customHeight="1"/>
    <row r="182" ht="16.5" hidden="1" customHeight="1"/>
    <row r="183" ht="16.5" hidden="1" customHeight="1"/>
    <row r="184" ht="16.5" hidden="1" customHeight="1"/>
    <row r="185" ht="16.5" hidden="1" customHeight="1"/>
    <row r="186" ht="16.5" hidden="1" customHeight="1"/>
    <row r="187" ht="16.5" hidden="1" customHeight="1"/>
    <row r="188" ht="16.5" hidden="1" customHeight="1"/>
    <row r="189" ht="16.5" hidden="1" customHeight="1"/>
    <row r="190" ht="16.5" hidden="1" customHeight="1"/>
    <row r="191" ht="16.5" hidden="1" customHeight="1"/>
    <row r="192" ht="16.5" hidden="1" customHeight="1"/>
    <row r="193" ht="16.5" hidden="1" customHeight="1"/>
    <row r="194" ht="16.5" hidden="1" customHeight="1"/>
    <row r="195" ht="16.5" hidden="1" customHeight="1"/>
    <row r="196" ht="16.5" hidden="1" customHeight="1"/>
    <row r="197" ht="16.5" hidden="1" customHeight="1"/>
    <row r="198" ht="16.5" hidden="1" customHeight="1"/>
    <row r="199" ht="16.5" hidden="1" customHeight="1"/>
    <row r="200" ht="16.5" hidden="1" customHeight="1"/>
    <row r="201" ht="16.5" hidden="1" customHeight="1"/>
    <row r="202" ht="16.5" hidden="1" customHeight="1"/>
    <row r="203" ht="16.5" hidden="1" customHeight="1"/>
    <row r="204" ht="16.5" hidden="1" customHeight="1"/>
    <row r="205" ht="16.5" hidden="1" customHeight="1"/>
    <row r="206" ht="16.5" hidden="1" customHeight="1"/>
    <row r="207" ht="16.5" hidden="1" customHeight="1"/>
    <row r="208" ht="16.5" hidden="1" customHeight="1"/>
    <row r="209" ht="16.5" hidden="1" customHeight="1"/>
    <row r="210" ht="16.5" hidden="1" customHeight="1"/>
    <row r="211" ht="16.5" hidden="1" customHeight="1"/>
    <row r="212" ht="16.5" hidden="1" customHeight="1"/>
    <row r="213" ht="16.5" hidden="1" customHeight="1"/>
    <row r="214" ht="16.5" hidden="1" customHeight="1"/>
    <row r="215" ht="16.5" hidden="1" customHeight="1"/>
    <row r="216" ht="16.5" hidden="1" customHeight="1"/>
    <row r="217" ht="16.5" hidden="1" customHeight="1"/>
    <row r="218" ht="16.5" hidden="1" customHeight="1"/>
    <row r="219" ht="16.5" hidden="1" customHeight="1"/>
    <row r="220" ht="16.5" hidden="1" customHeight="1"/>
    <row r="221" ht="16.5" hidden="1" customHeight="1"/>
    <row r="222" ht="16.5" hidden="1" customHeight="1"/>
    <row r="223" ht="16.5" hidden="1" customHeight="1"/>
    <row r="224" ht="16.5" hidden="1" customHeight="1"/>
    <row r="225" ht="16.5" hidden="1" customHeight="1"/>
    <row r="226" ht="16.5" hidden="1" customHeight="1"/>
    <row r="227" ht="16.5" hidden="1" customHeight="1"/>
    <row r="228" ht="16.5" hidden="1" customHeight="1"/>
    <row r="229" ht="16.5" hidden="1" customHeight="1"/>
    <row r="230" ht="16.5" hidden="1" customHeight="1"/>
    <row r="231" ht="16.5" hidden="1" customHeight="1"/>
    <row r="232" ht="16.5" hidden="1" customHeight="1"/>
    <row r="233" ht="16.5" hidden="1" customHeight="1"/>
    <row r="234" ht="16.5" hidden="1" customHeight="1"/>
    <row r="235" ht="16.5" hidden="1" customHeight="1"/>
    <row r="236" ht="16.5" hidden="1" customHeight="1"/>
    <row r="237" ht="16.5" hidden="1" customHeight="1"/>
    <row r="238" ht="16.5" hidden="1" customHeight="1"/>
    <row r="239" ht="16.5" hidden="1" customHeight="1"/>
    <row r="240" ht="16.5" hidden="1" customHeight="1"/>
    <row r="241" ht="16.5" hidden="1" customHeight="1"/>
    <row r="242" ht="16.5" hidden="1" customHeight="1"/>
    <row r="243" ht="16.5" hidden="1" customHeight="1"/>
    <row r="244" ht="16.5" hidden="1" customHeight="1"/>
    <row r="245" ht="16.5" hidden="1" customHeight="1"/>
    <row r="246" ht="16.5" hidden="1" customHeight="1"/>
    <row r="247" ht="16.5" hidden="1" customHeight="1"/>
    <row r="248" ht="16.5" hidden="1" customHeight="1"/>
    <row r="249" ht="16.5" hidden="1" customHeight="1"/>
    <row r="250" ht="16.5" hidden="1" customHeight="1"/>
    <row r="251" ht="16.5" hidden="1" customHeight="1"/>
    <row r="252" ht="16.5" hidden="1" customHeight="1"/>
    <row r="253" ht="16.5" hidden="1" customHeight="1"/>
    <row r="254" ht="16.5" hidden="1" customHeight="1"/>
    <row r="255" ht="16.5" hidden="1" customHeight="1"/>
    <row r="256" ht="16.5" hidden="1" customHeight="1"/>
    <row r="257" ht="16.5" hidden="1" customHeight="1"/>
    <row r="258" ht="16.5" hidden="1" customHeight="1"/>
    <row r="259" ht="16.5" hidden="1" customHeight="1"/>
    <row r="260" ht="16.5" hidden="1" customHeight="1"/>
    <row r="261" ht="16.5" hidden="1" customHeight="1"/>
    <row r="262" ht="16.5" hidden="1" customHeight="1"/>
    <row r="263" ht="16.5" hidden="1" customHeight="1"/>
    <row r="264" ht="16.5" hidden="1" customHeight="1"/>
    <row r="265" ht="16.5" hidden="1" customHeight="1"/>
    <row r="266" ht="16.5" hidden="1" customHeight="1"/>
    <row r="267" ht="16.5" hidden="1" customHeight="1"/>
    <row r="268" ht="16.5" hidden="1" customHeight="1"/>
    <row r="269" ht="16.5" hidden="1" customHeight="1"/>
    <row r="270" ht="16.5" hidden="1" customHeight="1"/>
    <row r="271" ht="16.5" hidden="1" customHeight="1"/>
    <row r="272" ht="16.5" hidden="1" customHeight="1"/>
    <row r="273" ht="16.5" hidden="1" customHeight="1"/>
    <row r="274" ht="16.5" hidden="1" customHeight="1"/>
    <row r="275" ht="16.5" hidden="1" customHeight="1"/>
    <row r="276" ht="16.5" hidden="1" customHeight="1"/>
    <row r="277" ht="16.5" hidden="1" customHeight="1"/>
    <row r="278" ht="16.5" hidden="1" customHeight="1"/>
    <row r="279" ht="16.5" hidden="1" customHeight="1"/>
    <row r="280" ht="16.5" hidden="1" customHeight="1"/>
    <row r="281" ht="16.5" hidden="1" customHeight="1"/>
  </sheetData>
  <sheetProtection algorithmName="SHA-512" hashValue="ivOX5QLlwnURNigWRB2LG/aMGfeUwsFzKLLDPsuwUMXfh/ZFbZLefc2SniRc/Wjgy4GJO/bWM23X+dwJTRKLDg==" saltValue="VuA5oiaRZHR1RfQObLt5YQ==" spinCount="100000" sheet="1" objects="1" scenarios="1" selectLockedCells="1"/>
  <mergeCells count="127">
    <mergeCell ref="H19:N19"/>
    <mergeCell ref="O19:P19"/>
    <mergeCell ref="AI19:AK19"/>
    <mergeCell ref="AP18:AQ18"/>
    <mergeCell ref="AR18:AS18"/>
    <mergeCell ref="A17:B17"/>
    <mergeCell ref="A21:B21"/>
    <mergeCell ref="A33:D34"/>
    <mergeCell ref="A5:B5"/>
    <mergeCell ref="J8:K8"/>
    <mergeCell ref="L8:M8"/>
    <mergeCell ref="Z8:AA8"/>
    <mergeCell ref="AS8:BD8"/>
    <mergeCell ref="A8:B8"/>
    <mergeCell ref="AS10:BD10"/>
    <mergeCell ref="A9:D9"/>
    <mergeCell ref="J9:O9"/>
    <mergeCell ref="Z9:AA9"/>
    <mergeCell ref="AJ9:AK9"/>
    <mergeCell ref="L10:M11"/>
    <mergeCell ref="Y10:AA10"/>
    <mergeCell ref="Z6:AA6"/>
    <mergeCell ref="AJ6:AK6"/>
    <mergeCell ref="AS6:BD6"/>
    <mergeCell ref="K7:N7"/>
    <mergeCell ref="Q7:R8"/>
    <mergeCell ref="Z7:AA7"/>
    <mergeCell ref="A26:B26"/>
    <mergeCell ref="AI13:AK13"/>
    <mergeCell ref="Y14:Z14"/>
    <mergeCell ref="AY14:BB14"/>
    <mergeCell ref="H15:N15"/>
    <mergeCell ref="O15:P15"/>
    <mergeCell ref="Y15:Z15"/>
    <mergeCell ref="AJ15:AK15"/>
    <mergeCell ref="H14:N14"/>
    <mergeCell ref="O14:P14"/>
    <mergeCell ref="AP19:AQ19"/>
    <mergeCell ref="AR19:AX19"/>
    <mergeCell ref="A19:B19"/>
    <mergeCell ref="H16:N16"/>
    <mergeCell ref="O16:P16"/>
    <mergeCell ref="AI16:AK16"/>
    <mergeCell ref="H17:N17"/>
    <mergeCell ref="O17:P17"/>
    <mergeCell ref="Y17:Z17"/>
    <mergeCell ref="AP17:AQ17"/>
    <mergeCell ref="AR17:AS17"/>
    <mergeCell ref="H18:N18"/>
    <mergeCell ref="O18:P18"/>
    <mergeCell ref="AI18:AK18"/>
    <mergeCell ref="A27:B27"/>
    <mergeCell ref="A28:B28"/>
    <mergeCell ref="C28:D28"/>
    <mergeCell ref="H20:L20"/>
    <mergeCell ref="M20:P20"/>
    <mergeCell ref="AV12:BD12"/>
    <mergeCell ref="H13:N13"/>
    <mergeCell ref="O13:P13"/>
    <mergeCell ref="Y13:Z13"/>
    <mergeCell ref="AD13:AH13"/>
    <mergeCell ref="I24:J24"/>
    <mergeCell ref="A12:B13"/>
    <mergeCell ref="A15:B15"/>
    <mergeCell ref="AQ24:BC24"/>
    <mergeCell ref="AQ25:BC25"/>
    <mergeCell ref="AH26:AI26"/>
    <mergeCell ref="AQ26:BC26"/>
    <mergeCell ref="AJ20:AL20"/>
    <mergeCell ref="AP20:AQ20"/>
    <mergeCell ref="AR20:AY20"/>
    <mergeCell ref="I21:Y23"/>
    <mergeCell ref="AQ21:AZ22"/>
    <mergeCell ref="X20:Z20"/>
    <mergeCell ref="AD20:AI20"/>
    <mergeCell ref="AY46:AZ46"/>
    <mergeCell ref="AQ32:BC32"/>
    <mergeCell ref="K33:L33"/>
    <mergeCell ref="S33:T33"/>
    <mergeCell ref="AB33:AC33"/>
    <mergeCell ref="AQ33:BC33"/>
    <mergeCell ref="T34:V34"/>
    <mergeCell ref="BD52:BF52"/>
    <mergeCell ref="P53:Q53"/>
    <mergeCell ref="S53:T53"/>
    <mergeCell ref="L48:N48"/>
    <mergeCell ref="O48:R48"/>
    <mergeCell ref="AJ48:AS48"/>
    <mergeCell ref="AT48:AV48"/>
    <mergeCell ref="P49:R49"/>
    <mergeCell ref="S49:T49"/>
    <mergeCell ref="E54:G54"/>
    <mergeCell ref="P50:Q50"/>
    <mergeCell ref="S50:T50"/>
    <mergeCell ref="BB50:BD50"/>
    <mergeCell ref="P51:Q51"/>
    <mergeCell ref="S51:T51"/>
    <mergeCell ref="AG51:AH51"/>
    <mergeCell ref="AJ27:AK27"/>
    <mergeCell ref="AQ27:BC27"/>
    <mergeCell ref="AG28:AI29"/>
    <mergeCell ref="AJ28:AL29"/>
    <mergeCell ref="AQ28:BC28"/>
    <mergeCell ref="W34:AA34"/>
    <mergeCell ref="AQ34:BC34"/>
    <mergeCell ref="AQ30:BC30"/>
    <mergeCell ref="AH31:AI31"/>
    <mergeCell ref="AQ31:BC31"/>
    <mergeCell ref="AQ35:BC35"/>
    <mergeCell ref="H37:AF38"/>
    <mergeCell ref="AG40:AI40"/>
    <mergeCell ref="AA43:AB44"/>
    <mergeCell ref="AC43:AH44"/>
    <mergeCell ref="AQ29:BC29"/>
    <mergeCell ref="R46:S46"/>
    <mergeCell ref="Q55:R55"/>
    <mergeCell ref="Q56:R56"/>
    <mergeCell ref="AV56:AX56"/>
    <mergeCell ref="AA58:AB59"/>
    <mergeCell ref="AC58:AJ59"/>
    <mergeCell ref="I61:I62"/>
    <mergeCell ref="J61:J62"/>
    <mergeCell ref="Z62:AB62"/>
    <mergeCell ref="P52:Q52"/>
    <mergeCell ref="S52:T52"/>
    <mergeCell ref="P54:Q54"/>
    <mergeCell ref="S54:T54"/>
  </mergeCells>
  <hyperlinks>
    <hyperlink ref="A33:D34" location="Index!A1" display="RETURN TO INDEX" xr:uid="{00000000-0004-0000-0400-000000000000}"/>
  </hyperlinks>
  <printOptions horizontalCentered="1"/>
  <pageMargins left="0.25" right="0.25" top="0.75" bottom="1" header="0.3" footer="0.3"/>
  <pageSetup scale="59" orientation="portrait" horizontalDpi="1200" verticalDpi="1200" r:id="rId1"/>
  <headerFoot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defaultSize="0" autoLine="0" autoPict="0">
                <anchor moveWithCells="1">
                  <from>
                    <xdr:col>1</xdr:col>
                    <xdr:colOff>590550</xdr:colOff>
                    <xdr:row>3</xdr:row>
                    <xdr:rowOff>200025</xdr:rowOff>
                  </from>
                  <to>
                    <xdr:col>3</xdr:col>
                    <xdr:colOff>209550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Drop Down 2">
              <controlPr defaultSize="0" autoLine="0" autoPict="0">
                <anchor moveWithCells="1">
                  <from>
                    <xdr:col>1</xdr:col>
                    <xdr:colOff>590550</xdr:colOff>
                    <xdr:row>6</xdr:row>
                    <xdr:rowOff>200025</xdr:rowOff>
                  </from>
                  <to>
                    <xdr:col>3</xdr:col>
                    <xdr:colOff>209550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Drop Down 5">
              <controlPr defaultSize="0" autoLine="0" autoPict="0">
                <anchor moveWithCells="1">
                  <from>
                    <xdr:col>1</xdr:col>
                    <xdr:colOff>590550</xdr:colOff>
                    <xdr:row>21</xdr:row>
                    <xdr:rowOff>200025</xdr:rowOff>
                  </from>
                  <to>
                    <xdr:col>3</xdr:col>
                    <xdr:colOff>209550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Drop Down 6">
              <controlPr defaultSize="0" autoLine="0" autoPict="0">
                <anchor moveWithCells="1">
                  <from>
                    <xdr:col>1</xdr:col>
                    <xdr:colOff>590550</xdr:colOff>
                    <xdr:row>11</xdr:row>
                    <xdr:rowOff>200025</xdr:rowOff>
                  </from>
                  <to>
                    <xdr:col>3</xdr:col>
                    <xdr:colOff>209550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Drop Down 7">
              <controlPr defaultSize="0" autoLine="0" autoPict="0">
                <anchor moveWithCells="1">
                  <from>
                    <xdr:col>1</xdr:col>
                    <xdr:colOff>590550</xdr:colOff>
                    <xdr:row>13</xdr:row>
                    <xdr:rowOff>200025</xdr:rowOff>
                  </from>
                  <to>
                    <xdr:col>3</xdr:col>
                    <xdr:colOff>209550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0" name="Drop Down 3">
              <controlPr defaultSize="0" autoLine="0" autoPict="0">
                <anchor moveWithCells="1">
                  <from>
                    <xdr:col>1</xdr:col>
                    <xdr:colOff>590550</xdr:colOff>
                    <xdr:row>15</xdr:row>
                    <xdr:rowOff>200025</xdr:rowOff>
                  </from>
                  <to>
                    <xdr:col>3</xdr:col>
                    <xdr:colOff>209550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1" name="Drop Down 4">
              <controlPr defaultSize="0" autoLine="0" autoPict="0">
                <anchor moveWithCells="1">
                  <from>
                    <xdr:col>1</xdr:col>
                    <xdr:colOff>590550</xdr:colOff>
                    <xdr:row>17</xdr:row>
                    <xdr:rowOff>200025</xdr:rowOff>
                  </from>
                  <to>
                    <xdr:col>3</xdr:col>
                    <xdr:colOff>209550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Drop Down 8">
              <controlPr defaultSize="0" autoLine="0" autoPict="0">
                <anchor moveWithCells="1">
                  <from>
                    <xdr:col>1</xdr:col>
                    <xdr:colOff>590550</xdr:colOff>
                    <xdr:row>19</xdr:row>
                    <xdr:rowOff>200025</xdr:rowOff>
                  </from>
                  <to>
                    <xdr:col>3</xdr:col>
                    <xdr:colOff>209550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H281"/>
  <sheetViews>
    <sheetView workbookViewId="0">
      <selection activeCell="C2" sqref="C2"/>
    </sheetView>
  </sheetViews>
  <sheetFormatPr defaultColWidth="0" defaultRowHeight="15" customHeight="1" zeroHeight="1"/>
  <cols>
    <col min="1" max="1" width="14.42578125" customWidth="1"/>
    <col min="2" max="3" width="10.7109375" customWidth="1"/>
    <col min="4" max="4" width="7.7109375" customWidth="1"/>
    <col min="5" max="81" width="3.140625" customWidth="1"/>
    <col min="82" max="86" width="9.140625" customWidth="1"/>
    <col min="87" max="16384" width="9.140625" hidden="1"/>
  </cols>
  <sheetData>
    <row r="1" spans="1:86" s="92" customFormat="1" ht="18.75">
      <c r="A1" s="295" t="s">
        <v>210</v>
      </c>
      <c r="E1" s="94"/>
      <c r="F1" s="94"/>
      <c r="G1" s="94"/>
      <c r="H1" s="59" t="s">
        <v>0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</row>
    <row r="2" spans="1:86" ht="16.5" customHeight="1">
      <c r="A2" s="291" t="s">
        <v>183</v>
      </c>
      <c r="B2" s="210"/>
      <c r="C2" s="286">
        <v>50000</v>
      </c>
      <c r="D2" s="210"/>
      <c r="E2" s="162"/>
      <c r="F2" s="102"/>
      <c r="G2" s="11"/>
      <c r="H2" s="60" t="s">
        <v>1</v>
      </c>
      <c r="I2" s="11"/>
      <c r="J2" s="11"/>
      <c r="K2" s="11"/>
      <c r="L2" s="274"/>
      <c r="M2" s="3"/>
      <c r="N2" s="256"/>
      <c r="O2" s="3"/>
      <c r="P2" s="3"/>
      <c r="Q2" s="3"/>
      <c r="R2" s="3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94"/>
      <c r="BG2" s="94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</row>
    <row r="3" spans="1:86" ht="16.5" customHeight="1">
      <c r="A3" s="210"/>
      <c r="B3" s="92"/>
      <c r="C3" s="210"/>
      <c r="D3" s="210"/>
      <c r="E3" s="162"/>
      <c r="F3" s="102"/>
      <c r="G3" s="6"/>
      <c r="I3" s="24"/>
      <c r="J3" s="54"/>
      <c r="K3" s="54"/>
      <c r="L3" s="25"/>
      <c r="M3" s="256"/>
      <c r="N3" s="256"/>
      <c r="O3" s="256"/>
      <c r="P3" s="2"/>
      <c r="Q3" s="2"/>
      <c r="R3" s="2"/>
      <c r="S3" s="256"/>
      <c r="T3" s="256"/>
      <c r="U3" s="256"/>
      <c r="V3" s="256"/>
      <c r="W3" s="256"/>
      <c r="X3" s="29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94"/>
      <c r="BG3" s="94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</row>
    <row r="4" spans="1:86" ht="16.5" customHeight="1">
      <c r="A4" s="297" t="s">
        <v>190</v>
      </c>
      <c r="B4" s="92"/>
      <c r="C4" s="92"/>
      <c r="D4" s="210"/>
      <c r="E4" s="162"/>
      <c r="F4" s="103"/>
      <c r="G4" s="28"/>
      <c r="H4" s="28"/>
      <c r="I4" s="54"/>
      <c r="J4" s="54"/>
      <c r="K4" s="54"/>
      <c r="L4" s="28"/>
      <c r="M4" s="256"/>
      <c r="N4" s="47" t="s">
        <v>2</v>
      </c>
      <c r="O4" s="256"/>
      <c r="P4" s="28"/>
      <c r="Q4" s="28"/>
      <c r="R4" s="28"/>
      <c r="S4" s="256"/>
      <c r="T4" s="256"/>
      <c r="U4" s="256"/>
      <c r="V4" s="256"/>
      <c r="W4" s="256"/>
      <c r="X4" s="29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94"/>
      <c r="BG4" s="94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</row>
    <row r="5" spans="1:86" ht="16.5" customHeight="1">
      <c r="A5" s="781" t="s">
        <v>22</v>
      </c>
      <c r="B5" s="781"/>
      <c r="C5" s="38">
        <v>4</v>
      </c>
      <c r="D5" s="210"/>
      <c r="E5" s="162"/>
      <c r="F5" s="104"/>
      <c r="G5" s="28"/>
      <c r="H5" s="28"/>
      <c r="I5" s="55"/>
      <c r="J5" s="55"/>
      <c r="K5" s="56"/>
      <c r="L5" s="28"/>
      <c r="M5" s="28"/>
      <c r="N5" s="94"/>
      <c r="O5" s="28"/>
      <c r="P5" s="28"/>
      <c r="Q5" s="28"/>
      <c r="R5" s="28"/>
      <c r="S5" s="11" t="s">
        <v>26</v>
      </c>
      <c r="T5" s="94"/>
      <c r="U5" s="94"/>
      <c r="V5" s="96"/>
      <c r="W5" s="110"/>
      <c r="X5" s="110"/>
      <c r="Y5" s="96"/>
      <c r="Z5" s="31"/>
      <c r="AA5" s="31"/>
      <c r="AB5" s="31"/>
      <c r="AC5" s="96"/>
      <c r="AD5" s="33" t="s">
        <v>234</v>
      </c>
      <c r="AE5" s="116"/>
      <c r="AF5" s="31"/>
      <c r="AG5" s="31"/>
      <c r="AH5" s="31"/>
      <c r="AI5" s="31"/>
      <c r="AJ5" s="31"/>
      <c r="AK5" s="31"/>
      <c r="AL5" s="31"/>
      <c r="AM5" s="94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94"/>
      <c r="BG5" s="94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</row>
    <row r="6" spans="1:86" ht="16.5" customHeight="1">
      <c r="A6" s="92"/>
      <c r="B6" s="210"/>
      <c r="C6" s="210"/>
      <c r="D6" s="210"/>
      <c r="E6" s="162"/>
      <c r="F6" s="96"/>
      <c r="G6" s="28"/>
      <c r="H6" s="28"/>
      <c r="I6" s="189"/>
      <c r="J6" s="189"/>
      <c r="K6" s="189"/>
      <c r="L6" s="25"/>
      <c r="M6" s="178"/>
      <c r="N6" s="178"/>
      <c r="O6" s="178"/>
      <c r="P6" s="178"/>
      <c r="Q6" s="178"/>
      <c r="R6" s="186"/>
      <c r="S6" s="252" t="s">
        <v>29</v>
      </c>
      <c r="T6" s="252"/>
      <c r="U6" s="252"/>
      <c r="V6" s="252"/>
      <c r="W6" s="252"/>
      <c r="X6" s="252"/>
      <c r="Y6" s="252"/>
      <c r="Z6" s="737">
        <f>Y13*O13</f>
        <v>276</v>
      </c>
      <c r="AA6" s="737"/>
      <c r="AB6" s="94"/>
      <c r="AC6" s="94"/>
      <c r="AD6" s="250" t="s">
        <v>233</v>
      </c>
      <c r="AE6" s="250"/>
      <c r="AF6" s="250"/>
      <c r="AG6" s="250"/>
      <c r="AH6" s="250"/>
      <c r="AI6" s="94"/>
      <c r="AJ6" s="736">
        <f>P53+S48*S53+AV53+AY48*AY53</f>
        <v>841.79956900642753</v>
      </c>
      <c r="AK6" s="736"/>
      <c r="AL6" s="29" t="s">
        <v>30</v>
      </c>
      <c r="AM6" s="94"/>
      <c r="AN6" s="3"/>
      <c r="AO6" s="3"/>
      <c r="AP6" s="36" t="s">
        <v>4</v>
      </c>
      <c r="AQ6" s="35"/>
      <c r="AR6" s="35"/>
      <c r="AS6" s="716"/>
      <c r="AT6" s="716"/>
      <c r="AU6" s="716"/>
      <c r="AV6" s="716"/>
      <c r="AW6" s="716"/>
      <c r="AX6" s="716"/>
      <c r="AY6" s="716"/>
      <c r="AZ6" s="716"/>
      <c r="BA6" s="716"/>
      <c r="BB6" s="716"/>
      <c r="BC6" s="716"/>
      <c r="BD6" s="716"/>
      <c r="BE6" s="28"/>
      <c r="BF6" s="94"/>
      <c r="BG6" s="94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</row>
    <row r="7" spans="1:86" ht="16.5" customHeight="1">
      <c r="A7" s="298" t="s">
        <v>192</v>
      </c>
      <c r="B7" s="225"/>
      <c r="C7" s="225"/>
      <c r="D7" s="225"/>
      <c r="E7" s="162"/>
      <c r="F7" s="96"/>
      <c r="G7" s="91"/>
      <c r="H7" s="22"/>
      <c r="I7" s="22"/>
      <c r="J7" s="22"/>
      <c r="K7" s="761" t="str">
        <f>VLOOKUP($C$5,Data!$B$4:$L$7,2)</f>
        <v>SK290</v>
      </c>
      <c r="L7" s="761"/>
      <c r="M7" s="761"/>
      <c r="N7" s="761"/>
      <c r="O7" s="178"/>
      <c r="P7" s="178"/>
      <c r="Q7" s="738">
        <f>VLOOKUP($C$5,Data!$B$4:$L$7,7)</f>
        <v>59.5</v>
      </c>
      <c r="R7" s="738"/>
      <c r="S7" s="185" t="s">
        <v>32</v>
      </c>
      <c r="T7" s="185"/>
      <c r="U7" s="185"/>
      <c r="V7" s="185"/>
      <c r="W7" s="185"/>
      <c r="X7" s="185"/>
      <c r="Y7" s="185"/>
      <c r="Z7" s="749">
        <f>VLOOKUP($C$5,Data!$B$4:$L$7,3)</f>
        <v>109.7</v>
      </c>
      <c r="AA7" s="749"/>
      <c r="AB7" s="29" t="s">
        <v>30</v>
      </c>
      <c r="AC7" s="94"/>
      <c r="AD7" s="179" t="s">
        <v>160</v>
      </c>
      <c r="AE7" s="167"/>
      <c r="AF7" s="167"/>
      <c r="AG7" s="167"/>
      <c r="AH7" s="167"/>
      <c r="AI7" s="167"/>
      <c r="AJ7" s="167"/>
      <c r="AK7" s="167"/>
      <c r="AL7" s="167"/>
      <c r="AM7" s="94"/>
      <c r="AN7" s="3"/>
      <c r="AO7" s="3"/>
      <c r="AP7" s="35"/>
      <c r="AQ7" s="35"/>
      <c r="AR7" s="35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94"/>
      <c r="BG7" s="94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</row>
    <row r="8" spans="1:86" ht="16.5" customHeight="1">
      <c r="A8" s="668" t="s">
        <v>5</v>
      </c>
      <c r="B8" s="669"/>
      <c r="C8" s="38">
        <v>6</v>
      </c>
      <c r="D8" s="225"/>
      <c r="E8" s="162"/>
      <c r="F8" s="96"/>
      <c r="G8" s="11"/>
      <c r="H8" s="11"/>
      <c r="I8" s="11"/>
      <c r="J8" s="721" t="s">
        <v>15</v>
      </c>
      <c r="K8" s="717"/>
      <c r="L8" s="762">
        <f>VLOOKUP($C$5,Data!$B$4:$L$7,3)/(VLOOKUP($C$5,Data!$B$4:$L$7,4)/12)</f>
        <v>27.254658385093173</v>
      </c>
      <c r="M8" s="762"/>
      <c r="N8" s="190" t="s">
        <v>16</v>
      </c>
      <c r="O8" s="277"/>
      <c r="P8" s="277"/>
      <c r="Q8" s="738"/>
      <c r="R8" s="738"/>
      <c r="S8" s="185" t="s">
        <v>33</v>
      </c>
      <c r="T8" s="185"/>
      <c r="U8" s="185"/>
      <c r="V8" s="185"/>
      <c r="W8" s="185"/>
      <c r="X8" s="185"/>
      <c r="Y8" s="185"/>
      <c r="Z8" s="737">
        <f>2*Y13</f>
        <v>12</v>
      </c>
      <c r="AA8" s="737"/>
      <c r="AB8" s="94"/>
      <c r="AC8" s="94"/>
      <c r="AD8" s="188" t="s">
        <v>235</v>
      </c>
      <c r="AE8" s="180"/>
      <c r="AF8" s="180"/>
      <c r="AG8" s="180"/>
      <c r="AH8" s="180"/>
      <c r="AI8" s="180"/>
      <c r="AJ8" s="180"/>
      <c r="AK8" s="180"/>
      <c r="AL8" s="180"/>
      <c r="AM8" s="94"/>
      <c r="AN8" s="3"/>
      <c r="AO8" s="3"/>
      <c r="AP8" s="37" t="s">
        <v>10</v>
      </c>
      <c r="AQ8" s="3"/>
      <c r="AR8" s="3"/>
      <c r="AS8" s="716"/>
      <c r="AT8" s="716"/>
      <c r="AU8" s="716"/>
      <c r="AV8" s="716"/>
      <c r="AW8" s="716"/>
      <c r="AX8" s="716"/>
      <c r="AY8" s="716"/>
      <c r="AZ8" s="716"/>
      <c r="BA8" s="716"/>
      <c r="BB8" s="716"/>
      <c r="BC8" s="716"/>
      <c r="BD8" s="716"/>
      <c r="BE8" s="3"/>
      <c r="BF8" s="94"/>
      <c r="BG8" s="94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</row>
    <row r="9" spans="1:86" ht="16.5" customHeight="1">
      <c r="A9" s="670" t="s">
        <v>211</v>
      </c>
      <c r="B9" s="670"/>
      <c r="C9" s="670"/>
      <c r="D9" s="670"/>
      <c r="E9" s="91"/>
      <c r="F9" s="3"/>
      <c r="G9" s="11"/>
      <c r="H9" s="11"/>
      <c r="I9" s="11"/>
      <c r="J9" s="760" t="s">
        <v>19</v>
      </c>
      <c r="K9" s="760"/>
      <c r="L9" s="760"/>
      <c r="M9" s="760"/>
      <c r="N9" s="760"/>
      <c r="O9" s="760"/>
      <c r="P9" s="277"/>
      <c r="Q9" s="94"/>
      <c r="R9" s="94"/>
      <c r="S9" s="185" t="s">
        <v>36</v>
      </c>
      <c r="T9" s="185"/>
      <c r="U9" s="185"/>
      <c r="V9" s="185"/>
      <c r="W9" s="185"/>
      <c r="X9" s="185"/>
      <c r="Y9" s="185"/>
      <c r="Z9" s="749">
        <f>VLOOKUP($C$5,Data!$B$4:$M$7,12)</f>
        <v>39.6</v>
      </c>
      <c r="AA9" s="749"/>
      <c r="AB9" s="29" t="s">
        <v>30</v>
      </c>
      <c r="AC9" s="94"/>
      <c r="AD9" s="250" t="s">
        <v>236</v>
      </c>
      <c r="AE9" s="250"/>
      <c r="AF9" s="250"/>
      <c r="AG9" s="250"/>
      <c r="AH9" s="250"/>
      <c r="AI9" s="250"/>
      <c r="AJ9" s="748">
        <f>P54+S48*S54+AV54+AY48*AY54</f>
        <v>1093.4952992873941</v>
      </c>
      <c r="AK9" s="748"/>
      <c r="AL9" s="29" t="s">
        <v>30</v>
      </c>
      <c r="AM9" s="94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94"/>
      <c r="BG9" s="94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</row>
    <row r="10" spans="1:86" ht="16.5" customHeight="1">
      <c r="A10" s="212"/>
      <c r="B10" s="114"/>
      <c r="C10" s="114"/>
      <c r="D10" s="97"/>
      <c r="E10" s="163"/>
      <c r="F10" s="96"/>
      <c r="G10" s="3"/>
      <c r="H10" s="3"/>
      <c r="I10" s="3"/>
      <c r="J10" s="94"/>
      <c r="K10" s="94"/>
      <c r="L10" s="770">
        <f>VLOOKUP($C$5,Data!$B$4:$L$7,6)</f>
        <v>100.5</v>
      </c>
      <c r="M10" s="770"/>
      <c r="N10" s="94"/>
      <c r="O10" s="277"/>
      <c r="P10" s="277"/>
      <c r="Q10" s="277"/>
      <c r="R10" s="96"/>
      <c r="S10" s="177" t="s">
        <v>180</v>
      </c>
      <c r="T10" s="185"/>
      <c r="U10" s="185"/>
      <c r="V10" s="185"/>
      <c r="W10" s="185"/>
      <c r="X10" s="185"/>
      <c r="Y10" s="739">
        <f>Z6*Z7+Z8*Z9</f>
        <v>30752.400000000001</v>
      </c>
      <c r="Z10" s="739"/>
      <c r="AA10" s="739"/>
      <c r="AB10" s="29" t="s">
        <v>30</v>
      </c>
      <c r="AC10" s="94"/>
      <c r="AD10" s="179" t="s">
        <v>164</v>
      </c>
      <c r="AE10" s="167"/>
      <c r="AF10" s="3"/>
      <c r="AG10" s="3"/>
      <c r="AH10" s="3"/>
      <c r="AI10" s="3"/>
      <c r="AJ10" s="3"/>
      <c r="AK10" s="3"/>
      <c r="AL10" s="157"/>
      <c r="AM10" s="94"/>
      <c r="AN10" s="11"/>
      <c r="AO10" s="23"/>
      <c r="AP10" s="37" t="s">
        <v>18</v>
      </c>
      <c r="AQ10" s="3"/>
      <c r="AR10" s="3"/>
      <c r="AS10" s="716"/>
      <c r="AT10" s="716"/>
      <c r="AU10" s="716"/>
      <c r="AV10" s="716"/>
      <c r="AW10" s="716"/>
      <c r="AX10" s="716"/>
      <c r="AY10" s="716"/>
      <c r="AZ10" s="716"/>
      <c r="BA10" s="716"/>
      <c r="BB10" s="716"/>
      <c r="BC10" s="716"/>
      <c r="BD10" s="716"/>
      <c r="BE10" s="3"/>
      <c r="BF10" s="94"/>
      <c r="BG10" s="94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</row>
    <row r="11" spans="1:86" ht="16.5" customHeight="1">
      <c r="A11" s="300" t="s">
        <v>231</v>
      </c>
      <c r="B11" s="113"/>
      <c r="C11" s="1"/>
      <c r="D11" s="113"/>
      <c r="E11" s="164"/>
      <c r="F11" s="96"/>
      <c r="G11" s="3"/>
      <c r="H11" s="3"/>
      <c r="I11" s="3"/>
      <c r="J11" s="94"/>
      <c r="K11" s="94"/>
      <c r="L11" s="770"/>
      <c r="M11" s="770"/>
      <c r="N11" s="94"/>
      <c r="O11" s="94"/>
      <c r="P11" s="277"/>
      <c r="Q11" s="277"/>
      <c r="R11" s="96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1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94"/>
      <c r="BG11" s="94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</row>
    <row r="12" spans="1:86" ht="16.5" customHeight="1">
      <c r="A12" s="780" t="s">
        <v>230</v>
      </c>
      <c r="B12" s="780"/>
      <c r="C12" s="92"/>
      <c r="D12" s="98"/>
      <c r="E12" s="165"/>
      <c r="F12" s="96"/>
      <c r="G12" s="94"/>
      <c r="H12" s="30" t="s">
        <v>3</v>
      </c>
      <c r="I12" s="31"/>
      <c r="J12" s="31"/>
      <c r="K12" s="31"/>
      <c r="L12" s="31"/>
      <c r="M12" s="31"/>
      <c r="N12" s="31"/>
      <c r="O12" s="31"/>
      <c r="P12" s="31"/>
      <c r="Q12" s="192"/>
      <c r="R12" s="96"/>
      <c r="S12" s="30" t="s">
        <v>198</v>
      </c>
      <c r="T12" s="31"/>
      <c r="U12" s="31"/>
      <c r="V12" s="31"/>
      <c r="W12" s="31"/>
      <c r="X12" s="31"/>
      <c r="Y12" s="31"/>
      <c r="Z12" s="31"/>
      <c r="AA12" s="116"/>
      <c r="AB12" s="27"/>
      <c r="AC12" s="94"/>
      <c r="AD12" s="201" t="s">
        <v>176</v>
      </c>
      <c r="AE12" s="116"/>
      <c r="AF12" s="116"/>
      <c r="AG12" s="116"/>
      <c r="AH12" s="116"/>
      <c r="AI12" s="116"/>
      <c r="AJ12" s="116"/>
      <c r="AK12" s="116"/>
      <c r="AL12" s="116"/>
      <c r="AM12" s="94"/>
      <c r="AN12" s="3"/>
      <c r="AO12" s="3"/>
      <c r="AP12" s="37" t="s">
        <v>25</v>
      </c>
      <c r="AQ12" s="3"/>
      <c r="AR12" s="3"/>
      <c r="AS12" s="3"/>
      <c r="AT12" s="3"/>
      <c r="AU12" s="3"/>
      <c r="AV12" s="716"/>
      <c r="AW12" s="716"/>
      <c r="AX12" s="716"/>
      <c r="AY12" s="716"/>
      <c r="AZ12" s="716"/>
      <c r="BA12" s="716"/>
      <c r="BB12" s="716"/>
      <c r="BC12" s="716"/>
      <c r="BD12" s="716"/>
      <c r="BE12" s="3"/>
      <c r="BF12" s="94"/>
      <c r="BG12" s="94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</row>
    <row r="13" spans="1:86" ht="16.5" customHeight="1" thickBot="1">
      <c r="A13" s="780"/>
      <c r="B13" s="780"/>
      <c r="C13" s="310">
        <v>4</v>
      </c>
      <c r="D13" s="92"/>
      <c r="E13" s="96"/>
      <c r="F13" s="96"/>
      <c r="G13" s="94"/>
      <c r="H13" s="773" t="s">
        <v>6</v>
      </c>
      <c r="I13" s="773"/>
      <c r="J13" s="773"/>
      <c r="K13" s="773"/>
      <c r="L13" s="773"/>
      <c r="M13" s="773"/>
      <c r="N13" s="773"/>
      <c r="O13" s="717">
        <f>C41</f>
        <v>46</v>
      </c>
      <c r="P13" s="717"/>
      <c r="Q13" s="277"/>
      <c r="R13" s="96"/>
      <c r="S13" s="251" t="s">
        <v>5</v>
      </c>
      <c r="T13" s="251"/>
      <c r="U13" s="251"/>
      <c r="V13" s="251"/>
      <c r="W13" s="251"/>
      <c r="X13" s="94"/>
      <c r="Y13" s="717">
        <f>C8</f>
        <v>6</v>
      </c>
      <c r="Z13" s="717"/>
      <c r="AA13" s="94"/>
      <c r="AB13" s="3"/>
      <c r="AC13" s="94"/>
      <c r="AD13" s="746" t="s">
        <v>237</v>
      </c>
      <c r="AE13" s="746"/>
      <c r="AF13" s="746"/>
      <c r="AG13" s="746"/>
      <c r="AH13" s="746"/>
      <c r="AI13" s="757">
        <f>X19-AJ9-Y10</f>
        <v>45568.047756268155</v>
      </c>
      <c r="AJ13" s="757"/>
      <c r="AK13" s="757"/>
      <c r="AL13" s="29" t="s">
        <v>30</v>
      </c>
      <c r="AM13" s="9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94"/>
      <c r="BG13" s="94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</row>
    <row r="14" spans="1:86" ht="16.5" customHeight="1" thickBot="1">
      <c r="A14" s="303" t="str">
        <f>IF(C5=1,"Only SK31 options apply.","SK31 options DO NOT apply.")</f>
        <v>SK31 options DO NOT apply.</v>
      </c>
      <c r="B14" s="287"/>
      <c r="C14" s="303" t="str">
        <f>IF(C5=1,"Mainline x Stub","")</f>
        <v/>
      </c>
      <c r="D14" s="92"/>
      <c r="E14" s="165"/>
      <c r="F14" s="96"/>
      <c r="G14" s="94"/>
      <c r="H14" s="758" t="s">
        <v>9</v>
      </c>
      <c r="I14" s="758"/>
      <c r="J14" s="758"/>
      <c r="K14" s="758"/>
      <c r="L14" s="758"/>
      <c r="M14" s="758"/>
      <c r="N14" s="758"/>
      <c r="O14" s="718">
        <f>VLOOKUP($C$5,Data!$B$4:$L$7,4)</f>
        <v>48.3</v>
      </c>
      <c r="P14" s="718"/>
      <c r="Q14" s="251" t="s">
        <v>8</v>
      </c>
      <c r="R14" s="94"/>
      <c r="S14" s="251" t="s">
        <v>7</v>
      </c>
      <c r="T14" s="251"/>
      <c r="U14" s="251"/>
      <c r="V14" s="251"/>
      <c r="W14" s="251"/>
      <c r="X14" s="94"/>
      <c r="Y14" s="718">
        <f>VLOOKUP($C$5,Data!$B$4:$L$7,8)</f>
        <v>9</v>
      </c>
      <c r="Z14" s="717"/>
      <c r="AA14" s="29" t="s">
        <v>8</v>
      </c>
      <c r="AB14" s="94"/>
      <c r="AC14" s="94"/>
      <c r="AD14" s="201" t="s">
        <v>178</v>
      </c>
      <c r="AE14" s="200"/>
      <c r="AF14" s="200"/>
      <c r="AG14" s="200"/>
      <c r="AH14" s="200"/>
      <c r="AI14" s="200"/>
      <c r="AJ14" s="200"/>
      <c r="AK14" s="200"/>
      <c r="AL14" s="200"/>
      <c r="AM14" s="204"/>
      <c r="AN14" s="3"/>
      <c r="AO14" s="3"/>
      <c r="AP14" s="37" t="s">
        <v>28</v>
      </c>
      <c r="AQ14" s="3"/>
      <c r="AR14" s="3"/>
      <c r="AS14" s="3"/>
      <c r="AT14" s="3"/>
      <c r="AU14" s="3"/>
      <c r="AV14" s="3"/>
      <c r="AW14" s="3"/>
      <c r="AX14" s="3"/>
      <c r="AY14" s="727">
        <f>C2</f>
        <v>50000</v>
      </c>
      <c r="AZ14" s="728"/>
      <c r="BA14" s="728"/>
      <c r="BB14" s="729"/>
      <c r="BC14" s="3"/>
      <c r="BD14" s="3"/>
      <c r="BE14" s="3"/>
      <c r="BF14" s="94"/>
      <c r="BG14" s="94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</row>
    <row r="15" spans="1:86" ht="16.5" customHeight="1">
      <c r="A15" s="756" t="s">
        <v>685</v>
      </c>
      <c r="B15" s="756"/>
      <c r="C15" s="241">
        <v>3</v>
      </c>
      <c r="D15" s="217"/>
      <c r="E15" s="96"/>
      <c r="F15" s="96"/>
      <c r="G15" s="94"/>
      <c r="H15" s="758" t="s">
        <v>14</v>
      </c>
      <c r="I15" s="758"/>
      <c r="J15" s="758"/>
      <c r="K15" s="758"/>
      <c r="L15" s="758"/>
      <c r="M15" s="758"/>
      <c r="N15" s="758"/>
      <c r="O15" s="717">
        <f>VLOOKUP($C$5,Data!$B$4:$L$7,5)</f>
        <v>32.4</v>
      </c>
      <c r="P15" s="717"/>
      <c r="Q15" s="251" t="s">
        <v>8</v>
      </c>
      <c r="R15" s="94"/>
      <c r="S15" s="251" t="s">
        <v>12</v>
      </c>
      <c r="T15" s="251"/>
      <c r="U15" s="251"/>
      <c r="V15" s="251"/>
      <c r="W15" s="251"/>
      <c r="X15" s="94"/>
      <c r="Y15" s="717">
        <f>(Y13*L10+(Y13-1)*Y14+2*K33)/12</f>
        <v>56</v>
      </c>
      <c r="Z15" s="717"/>
      <c r="AA15" s="29" t="s">
        <v>13</v>
      </c>
      <c r="AB15" s="94"/>
      <c r="AC15" s="202"/>
      <c r="AD15" s="29" t="s">
        <v>34</v>
      </c>
      <c r="AE15" s="251"/>
      <c r="AF15" s="251"/>
      <c r="AG15" s="251"/>
      <c r="AH15" s="251"/>
      <c r="AI15" s="202"/>
      <c r="AJ15" s="747">
        <v>0.4</v>
      </c>
      <c r="AK15" s="747"/>
      <c r="AL15" s="251"/>
      <c r="AM15" s="94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94"/>
      <c r="BG15" s="94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</row>
    <row r="16" spans="1:86" ht="16.5" customHeight="1">
      <c r="A16" s="303" t="str">
        <f>IF(C5=2,"Only SK75 options apply.","SK75 options DO NOT apply.")</f>
        <v>SK75 options DO NOT apply.</v>
      </c>
      <c r="B16" s="287"/>
      <c r="C16" s="303" t="str">
        <f>IF(C5=2,"Mainline x Stub","")</f>
        <v/>
      </c>
      <c r="D16" s="92"/>
      <c r="E16" s="19"/>
      <c r="F16" s="96"/>
      <c r="G16" s="94"/>
      <c r="H16" s="758" t="s">
        <v>17</v>
      </c>
      <c r="I16" s="758"/>
      <c r="J16" s="758"/>
      <c r="K16" s="758"/>
      <c r="L16" s="758"/>
      <c r="M16" s="758"/>
      <c r="N16" s="758"/>
      <c r="O16" s="717">
        <f>(O13*O14+2*O15)/12</f>
        <v>190.54999999999998</v>
      </c>
      <c r="P16" s="717"/>
      <c r="Q16" s="251" t="s">
        <v>13</v>
      </c>
      <c r="R16" s="94"/>
      <c r="S16" s="30" t="s">
        <v>20</v>
      </c>
      <c r="T16" s="30"/>
      <c r="U16" s="30"/>
      <c r="V16" s="30"/>
      <c r="W16" s="31"/>
      <c r="X16" s="31"/>
      <c r="Y16" s="31"/>
      <c r="Z16" s="31"/>
      <c r="AA16" s="116"/>
      <c r="AB16" s="94"/>
      <c r="AC16" s="94"/>
      <c r="AD16" s="29" t="s">
        <v>179</v>
      </c>
      <c r="AE16" s="251"/>
      <c r="AF16" s="251"/>
      <c r="AG16" s="251"/>
      <c r="AH16" s="251"/>
      <c r="AI16" s="757">
        <f>AI13*AJ15</f>
        <v>18227.219102507264</v>
      </c>
      <c r="AJ16" s="757"/>
      <c r="AK16" s="757"/>
      <c r="AL16" s="29" t="s">
        <v>30</v>
      </c>
      <c r="AM16" s="94"/>
      <c r="AN16" s="3"/>
      <c r="AO16" s="3"/>
      <c r="AP16" s="36" t="s">
        <v>188</v>
      </c>
      <c r="AQ16" s="3"/>
      <c r="AR16" s="3"/>
      <c r="AS16" s="3"/>
      <c r="AT16" s="3"/>
      <c r="AU16" s="3"/>
      <c r="AV16" s="3"/>
      <c r="AW16" s="32"/>
      <c r="AX16" s="3"/>
      <c r="AY16" s="94"/>
      <c r="AZ16" s="3"/>
      <c r="BA16" s="3"/>
      <c r="BB16" s="3"/>
      <c r="BC16" s="3"/>
      <c r="BD16" s="3"/>
      <c r="BE16" s="3"/>
      <c r="BF16" s="94"/>
      <c r="BG16" s="94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</row>
    <row r="17" spans="1:86" ht="16.5" customHeight="1">
      <c r="A17" s="756" t="s">
        <v>68</v>
      </c>
      <c r="B17" s="756"/>
      <c r="C17" s="241">
        <v>18</v>
      </c>
      <c r="D17" s="217"/>
      <c r="E17" s="166"/>
      <c r="F17" s="96"/>
      <c r="G17" s="94"/>
      <c r="H17" s="759" t="s">
        <v>169</v>
      </c>
      <c r="I17" s="759"/>
      <c r="J17" s="759"/>
      <c r="K17" s="759"/>
      <c r="L17" s="759"/>
      <c r="M17" s="759"/>
      <c r="N17" s="759"/>
      <c r="O17" s="771">
        <f>Q55</f>
        <v>1.3520833333333331</v>
      </c>
      <c r="P17" s="772"/>
      <c r="Q17" s="251" t="s">
        <v>13</v>
      </c>
      <c r="R17" s="94"/>
      <c r="S17" s="185" t="s">
        <v>23</v>
      </c>
      <c r="T17" s="22"/>
      <c r="U17" s="22"/>
      <c r="V17" s="22"/>
      <c r="W17" s="185"/>
      <c r="X17" s="94"/>
      <c r="Y17" s="749">
        <f>(AH26+AG28+AH31)/12</f>
        <v>6.708333333333333</v>
      </c>
      <c r="Z17" s="749"/>
      <c r="AA17" s="177" t="s">
        <v>13</v>
      </c>
      <c r="AB17" s="94"/>
      <c r="AC17" s="94"/>
      <c r="AD17" s="33" t="s">
        <v>27</v>
      </c>
      <c r="AE17" s="200"/>
      <c r="AF17" s="200"/>
      <c r="AG17" s="200"/>
      <c r="AH17" s="200"/>
      <c r="AI17" s="200"/>
      <c r="AJ17" s="200"/>
      <c r="AK17" s="200"/>
      <c r="AL17" s="200"/>
      <c r="AM17" s="94"/>
      <c r="AN17" s="3"/>
      <c r="AO17" s="3"/>
      <c r="AP17" s="742">
        <f>Z6</f>
        <v>276</v>
      </c>
      <c r="AQ17" s="742"/>
      <c r="AR17" s="743" t="str">
        <f>VLOOKUP($C$5,Data!$B$4:$L$7,2)</f>
        <v>SK290</v>
      </c>
      <c r="AS17" s="743"/>
      <c r="AT17" s="253" t="s">
        <v>37</v>
      </c>
      <c r="AU17" s="196"/>
      <c r="AV17" s="253"/>
      <c r="AW17" s="253"/>
      <c r="AX17" s="253"/>
      <c r="AY17" s="253"/>
      <c r="AZ17" s="3"/>
      <c r="BA17" s="3"/>
      <c r="BB17" s="3"/>
      <c r="BC17" s="3"/>
      <c r="BD17" s="3"/>
      <c r="BE17" s="3"/>
      <c r="BF17" s="94"/>
      <c r="BG17" s="94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</row>
    <row r="18" spans="1:86" ht="16.5" customHeight="1">
      <c r="A18" s="303" t="str">
        <f>IF(C5=3,"Only SK180 options apply.","SK180 options DO NOT apply.")</f>
        <v>SK180 options DO NOT apply.</v>
      </c>
      <c r="B18" s="92"/>
      <c r="C18" s="303" t="str">
        <f>IF(C5=3,"Mainline x Stub","")</f>
        <v/>
      </c>
      <c r="D18" s="114"/>
      <c r="E18" s="94"/>
      <c r="F18" s="96"/>
      <c r="G18" s="94"/>
      <c r="H18" s="759" t="s">
        <v>170</v>
      </c>
      <c r="I18" s="759"/>
      <c r="J18" s="759"/>
      <c r="K18" s="759"/>
      <c r="L18" s="759"/>
      <c r="M18" s="759"/>
      <c r="N18" s="759"/>
      <c r="O18" s="771">
        <f>Q56</f>
        <v>6.4083333333333341</v>
      </c>
      <c r="P18" s="771"/>
      <c r="Q18" s="251" t="s">
        <v>13</v>
      </c>
      <c r="R18" s="94"/>
      <c r="S18" s="33" t="s">
        <v>174</v>
      </c>
      <c r="T18" s="116"/>
      <c r="U18" s="116"/>
      <c r="V18" s="116"/>
      <c r="W18" s="116"/>
      <c r="X18" s="116"/>
      <c r="Y18" s="116"/>
      <c r="Z18" s="116"/>
      <c r="AA18" s="116"/>
      <c r="AB18" s="117"/>
      <c r="AC18" s="202"/>
      <c r="AD18" s="206" t="s">
        <v>182</v>
      </c>
      <c r="AE18" s="203"/>
      <c r="AF18" s="252"/>
      <c r="AG18" s="252"/>
      <c r="AH18" s="252"/>
      <c r="AI18" s="745">
        <f>Y10+AJ6+AI16</f>
        <v>49821.418671513689</v>
      </c>
      <c r="AJ18" s="745"/>
      <c r="AK18" s="745"/>
      <c r="AL18" s="207" t="s">
        <v>31</v>
      </c>
      <c r="AM18" s="251"/>
      <c r="AN18" s="3"/>
      <c r="AO18" s="3"/>
      <c r="AP18" s="742">
        <f>Z8</f>
        <v>12</v>
      </c>
      <c r="AQ18" s="742"/>
      <c r="AR18" s="743" t="str">
        <f>VLOOKUP($C$5,Data!$B$4:$L$7,2)</f>
        <v>SK290</v>
      </c>
      <c r="AS18" s="743"/>
      <c r="AT18" s="253" t="s">
        <v>38</v>
      </c>
      <c r="AU18" s="196"/>
      <c r="AV18" s="253"/>
      <c r="AW18" s="253"/>
      <c r="AX18" s="253"/>
      <c r="AY18" s="253"/>
      <c r="AZ18" s="3"/>
      <c r="BA18" s="3"/>
      <c r="BB18" s="3"/>
      <c r="BC18" s="3"/>
      <c r="BD18" s="3"/>
      <c r="BE18" s="3"/>
      <c r="BF18" s="94"/>
      <c r="BG18" s="94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</row>
    <row r="19" spans="1:86" ht="16.5" customHeight="1">
      <c r="A19" s="756" t="s">
        <v>69</v>
      </c>
      <c r="B19" s="756"/>
      <c r="C19" s="241">
        <v>19</v>
      </c>
      <c r="D19" s="92"/>
      <c r="E19" s="94"/>
      <c r="F19" s="96"/>
      <c r="G19" s="94"/>
      <c r="H19" s="763" t="s">
        <v>24</v>
      </c>
      <c r="I19" s="763"/>
      <c r="J19" s="763"/>
      <c r="K19" s="763"/>
      <c r="L19" s="763"/>
      <c r="M19" s="427"/>
      <c r="N19" s="725">
        <f>O16+2*O17+2*O18</f>
        <v>206.07083333333333</v>
      </c>
      <c r="O19" s="725"/>
      <c r="P19" s="725"/>
      <c r="Q19" s="251" t="s">
        <v>13</v>
      </c>
      <c r="R19" s="94"/>
      <c r="S19" s="251" t="s">
        <v>175</v>
      </c>
      <c r="T19" s="94"/>
      <c r="U19" s="94"/>
      <c r="V19" s="94"/>
      <c r="W19" s="94"/>
      <c r="X19" s="739">
        <f>Y15*Y17*N19</f>
        <v>77413.943055555545</v>
      </c>
      <c r="Y19" s="739"/>
      <c r="Z19" s="739"/>
      <c r="AA19" s="29" t="s">
        <v>30</v>
      </c>
      <c r="AB19" s="157"/>
      <c r="AC19" s="191"/>
      <c r="AD19" s="208" t="s">
        <v>181</v>
      </c>
      <c r="AE19" s="205"/>
      <c r="AF19" s="22"/>
      <c r="AG19" s="22"/>
      <c r="AH19" s="22"/>
      <c r="AI19" s="744">
        <f>C2</f>
        <v>50000</v>
      </c>
      <c r="AJ19" s="744"/>
      <c r="AK19" s="744"/>
      <c r="AL19" s="209" t="s">
        <v>31</v>
      </c>
      <c r="AM19" s="94"/>
      <c r="AN19" s="3"/>
      <c r="AO19" s="3"/>
      <c r="AP19" s="774">
        <f>AI13/27</f>
        <v>1687.7054724543761</v>
      </c>
      <c r="AQ19" s="774"/>
      <c r="AR19" s="743" t="s">
        <v>39</v>
      </c>
      <c r="AS19" s="743"/>
      <c r="AT19" s="743"/>
      <c r="AU19" s="743"/>
      <c r="AV19" s="743"/>
      <c r="AW19" s="743"/>
      <c r="AX19" s="743"/>
      <c r="AY19" s="253"/>
      <c r="AZ19" s="3"/>
      <c r="BA19" s="3"/>
      <c r="BB19" s="3"/>
      <c r="BC19" s="3"/>
      <c r="BD19" s="3"/>
      <c r="BE19" s="3"/>
      <c r="BF19" s="94"/>
      <c r="BG19" s="94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</row>
    <row r="20" spans="1:86" ht="16.5" customHeight="1">
      <c r="A20" s="303" t="str">
        <f>IF(C5=4,"Only SK290 options apply.","SK290 options DO NOT apply.")</f>
        <v>Only SK290 options apply.</v>
      </c>
      <c r="B20" s="92"/>
      <c r="C20" s="303" t="str">
        <f>IF(C5=4,"Mainline x Stub","")</f>
        <v>Mainline x Stub</v>
      </c>
      <c r="D20" s="114"/>
      <c r="E20" s="117"/>
      <c r="F20" s="96"/>
      <c r="G20" s="25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6"/>
      <c r="S20" s="94"/>
      <c r="T20" s="94"/>
      <c r="U20" s="94"/>
      <c r="V20" s="94"/>
      <c r="W20" s="94"/>
      <c r="X20" s="94"/>
      <c r="Y20" s="94"/>
      <c r="Z20" s="94"/>
      <c r="AA20" s="94"/>
      <c r="AB20" s="3"/>
      <c r="AC20" s="3"/>
      <c r="AD20" s="750" t="s">
        <v>35</v>
      </c>
      <c r="AE20" s="751"/>
      <c r="AF20" s="751"/>
      <c r="AG20" s="751"/>
      <c r="AH20" s="751"/>
      <c r="AI20" s="751"/>
      <c r="AJ20" s="752">
        <f>AI18/AI19</f>
        <v>0.99642837343027379</v>
      </c>
      <c r="AK20" s="752"/>
      <c r="AL20" s="753"/>
      <c r="AM20" s="3"/>
      <c r="AN20" s="3"/>
      <c r="AO20" s="3"/>
      <c r="AP20" s="774">
        <f>(2*Y15*N19+2*Y17*N19+2*Y17*Y15)/9</f>
        <v>2955.1167052469136</v>
      </c>
      <c r="AQ20" s="774"/>
      <c r="AR20" s="743" t="s">
        <v>41</v>
      </c>
      <c r="AS20" s="743"/>
      <c r="AT20" s="743"/>
      <c r="AU20" s="743"/>
      <c r="AV20" s="743"/>
      <c r="AW20" s="743"/>
      <c r="AX20" s="743"/>
      <c r="AY20" s="743"/>
      <c r="AZ20" s="3"/>
      <c r="BA20" s="3"/>
      <c r="BB20" s="3"/>
      <c r="BC20" s="3"/>
      <c r="BD20" s="3"/>
      <c r="BE20" s="3"/>
      <c r="BF20" s="94"/>
      <c r="BG20" s="94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</row>
    <row r="21" spans="1:86" ht="16.5" customHeight="1">
      <c r="A21" s="756" t="s">
        <v>695</v>
      </c>
      <c r="B21" s="756"/>
      <c r="C21" s="241">
        <v>51</v>
      </c>
      <c r="D21" s="92"/>
      <c r="E21" s="117"/>
      <c r="F21" s="96"/>
      <c r="G21" s="254"/>
      <c r="H21" s="254"/>
      <c r="I21" s="689" t="s">
        <v>40</v>
      </c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89"/>
      <c r="U21" s="689"/>
      <c r="V21" s="689"/>
      <c r="W21" s="689"/>
      <c r="X21" s="689"/>
      <c r="Y21" s="755"/>
      <c r="Z21" s="3"/>
      <c r="AA21" s="3"/>
      <c r="AB21" s="3"/>
      <c r="AC21" s="3"/>
      <c r="AD21" s="94"/>
      <c r="AE21" s="94"/>
      <c r="AF21" s="94"/>
      <c r="AG21" s="94"/>
      <c r="AH21" s="94"/>
      <c r="AI21" s="94"/>
      <c r="AJ21" s="94"/>
      <c r="AK21" s="94"/>
      <c r="AL21" s="94"/>
      <c r="AM21" s="3"/>
      <c r="AN21" s="3"/>
      <c r="AO21" s="3"/>
      <c r="AP21" s="198"/>
      <c r="AQ21" s="754" t="s">
        <v>171</v>
      </c>
      <c r="AR21" s="754"/>
      <c r="AS21" s="754"/>
      <c r="AT21" s="754"/>
      <c r="AU21" s="754"/>
      <c r="AV21" s="754"/>
      <c r="AW21" s="754"/>
      <c r="AX21" s="754"/>
      <c r="AY21" s="754"/>
      <c r="AZ21" s="754"/>
      <c r="BA21" s="216"/>
      <c r="BB21" s="216"/>
      <c r="BC21" s="216"/>
      <c r="BD21" s="216"/>
      <c r="BE21" s="3"/>
      <c r="BF21" s="94"/>
      <c r="BG21" s="94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</row>
    <row r="22" spans="1:86" ht="16.5" customHeight="1">
      <c r="A22" s="92"/>
      <c r="B22" s="92"/>
      <c r="C22" s="92"/>
      <c r="D22" s="213"/>
      <c r="E22" s="117"/>
      <c r="F22" s="96"/>
      <c r="G22" s="13"/>
      <c r="H22" s="14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89"/>
      <c r="U22" s="689"/>
      <c r="V22" s="689"/>
      <c r="W22" s="689"/>
      <c r="X22" s="689"/>
      <c r="Y22" s="755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197"/>
      <c r="AQ22" s="754"/>
      <c r="AR22" s="754"/>
      <c r="AS22" s="754"/>
      <c r="AT22" s="754"/>
      <c r="AU22" s="754"/>
      <c r="AV22" s="754"/>
      <c r="AW22" s="754"/>
      <c r="AX22" s="754"/>
      <c r="AY22" s="754"/>
      <c r="AZ22" s="754"/>
      <c r="BA22" s="216"/>
      <c r="BB22" s="216"/>
      <c r="BC22" s="216"/>
      <c r="BD22" s="216"/>
      <c r="BE22" s="3"/>
      <c r="BF22" s="94"/>
      <c r="BG22" s="94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</row>
    <row r="23" spans="1:86" ht="16.5" customHeight="1">
      <c r="A23" s="302" t="s">
        <v>212</v>
      </c>
      <c r="B23" s="114"/>
      <c r="C23" s="241">
        <v>1</v>
      </c>
      <c r="D23" s="114"/>
      <c r="E23" s="117"/>
      <c r="F23" s="96"/>
      <c r="G23" s="254"/>
      <c r="H23" s="21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89"/>
      <c r="T23" s="689"/>
      <c r="U23" s="689"/>
      <c r="V23" s="689"/>
      <c r="W23" s="689"/>
      <c r="X23" s="689"/>
      <c r="Y23" s="755"/>
      <c r="Z23" s="3"/>
      <c r="AA23" s="3"/>
      <c r="AB23" s="3"/>
      <c r="AC23" s="3"/>
      <c r="AD23" s="3"/>
      <c r="AE23" s="3"/>
      <c r="AF23" s="3"/>
      <c r="AG23" s="3"/>
      <c r="AH23" s="94"/>
      <c r="AI23" s="94"/>
      <c r="AJ23" s="94"/>
      <c r="AK23" s="3"/>
      <c r="AL23" s="3"/>
      <c r="AM23" s="3"/>
      <c r="AN23" s="3"/>
      <c r="AO23" s="3"/>
      <c r="AP23" s="36" t="s">
        <v>42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94"/>
      <c r="BG23" s="94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</row>
    <row r="24" spans="1:86" ht="16.5" customHeight="1">
      <c r="A24" s="92"/>
      <c r="B24" s="92"/>
      <c r="C24" s="92"/>
      <c r="D24" s="92"/>
      <c r="E24" s="94"/>
      <c r="F24" s="96"/>
      <c r="G24" s="255"/>
      <c r="H24" s="255"/>
      <c r="I24" s="691"/>
      <c r="J24" s="691"/>
      <c r="K24" s="15"/>
      <c r="L24" s="5"/>
      <c r="M24" s="5"/>
      <c r="N24" s="5"/>
      <c r="O24" s="5"/>
      <c r="P24" s="5"/>
      <c r="Q24" s="5"/>
      <c r="R24" s="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48"/>
      <c r="AQ24" s="693"/>
      <c r="AR24" s="693"/>
      <c r="AS24" s="693"/>
      <c r="AT24" s="693"/>
      <c r="AU24" s="693"/>
      <c r="AV24" s="693"/>
      <c r="AW24" s="693"/>
      <c r="AX24" s="693"/>
      <c r="AY24" s="693"/>
      <c r="AZ24" s="693"/>
      <c r="BA24" s="693"/>
      <c r="BB24" s="693"/>
      <c r="BC24" s="693"/>
      <c r="BD24" s="49"/>
      <c r="BE24" s="3"/>
      <c r="BF24" s="94"/>
      <c r="BG24" s="94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</row>
    <row r="25" spans="1:86" ht="12.75" customHeight="1">
      <c r="A25" s="300" t="s">
        <v>232</v>
      </c>
      <c r="B25" s="92"/>
      <c r="C25" s="92"/>
      <c r="D25" s="92"/>
      <c r="E25" s="94"/>
      <c r="F25" s="96"/>
      <c r="G25" s="11"/>
      <c r="H25" s="11"/>
      <c r="I25" s="11"/>
      <c r="J25" s="11"/>
      <c r="K25" s="15"/>
      <c r="L25" s="5"/>
      <c r="M25" s="5"/>
      <c r="N25" s="5"/>
      <c r="O25" s="5"/>
      <c r="P25" s="5"/>
      <c r="Q25" s="5"/>
      <c r="R25" s="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50"/>
      <c r="AQ25" s="693"/>
      <c r="AR25" s="693"/>
      <c r="AS25" s="693"/>
      <c r="AT25" s="693"/>
      <c r="AU25" s="693"/>
      <c r="AV25" s="693"/>
      <c r="AW25" s="693"/>
      <c r="AX25" s="693"/>
      <c r="AY25" s="693"/>
      <c r="AZ25" s="693"/>
      <c r="BA25" s="693"/>
      <c r="BB25" s="693"/>
      <c r="BC25" s="693"/>
      <c r="BD25" s="51"/>
      <c r="BE25" s="3"/>
      <c r="BF25" s="94"/>
      <c r="BG25" s="94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</row>
    <row r="26" spans="1:86" ht="16.5" customHeight="1">
      <c r="A26" s="780" t="s">
        <v>230</v>
      </c>
      <c r="B26" s="780"/>
      <c r="C26" s="92"/>
      <c r="D26" s="92"/>
      <c r="E26" s="94"/>
      <c r="F26" s="96"/>
      <c r="G26" s="11"/>
      <c r="H26" s="11"/>
      <c r="I26" s="11"/>
      <c r="J26" s="11"/>
      <c r="K26" s="15"/>
      <c r="L26" s="5"/>
      <c r="M26" s="5"/>
      <c r="N26" s="5"/>
      <c r="O26" s="5"/>
      <c r="P26" s="5"/>
      <c r="Q26" s="5"/>
      <c r="R26" s="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685">
        <f>VLOOKUP($C$5,Data!$B$4:$L$7,11)</f>
        <v>12</v>
      </c>
      <c r="AI26" s="685"/>
      <c r="AJ26" s="3"/>
      <c r="AK26" s="3"/>
      <c r="AL26" s="3"/>
      <c r="AM26" s="3"/>
      <c r="AN26" s="3"/>
      <c r="AO26" s="3"/>
      <c r="AP26" s="50"/>
      <c r="AQ26" s="693"/>
      <c r="AR26" s="693"/>
      <c r="AS26" s="693"/>
      <c r="AT26" s="693"/>
      <c r="AU26" s="693"/>
      <c r="AV26" s="693"/>
      <c r="AW26" s="693"/>
      <c r="AX26" s="693"/>
      <c r="AY26" s="693"/>
      <c r="AZ26" s="693"/>
      <c r="BA26" s="693"/>
      <c r="BB26" s="693"/>
      <c r="BC26" s="693"/>
      <c r="BD26" s="51"/>
      <c r="BE26" s="3"/>
      <c r="BF26" s="94"/>
      <c r="BG26" s="94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</row>
    <row r="27" spans="1:86" ht="16.5" customHeight="1">
      <c r="A27" s="780"/>
      <c r="B27" s="780"/>
      <c r="C27" s="310">
        <v>5</v>
      </c>
      <c r="D27" s="92"/>
      <c r="E27" s="94"/>
      <c r="F27" s="3"/>
      <c r="G27" s="11"/>
      <c r="H27" s="11"/>
      <c r="I27" s="11"/>
      <c r="J27" s="11"/>
      <c r="K27" s="16"/>
      <c r="L27" s="5"/>
      <c r="M27" s="5"/>
      <c r="N27" s="5"/>
      <c r="O27" s="5"/>
      <c r="P27" s="5"/>
      <c r="Q27" s="5"/>
      <c r="R27" s="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26"/>
      <c r="AH27" s="26"/>
      <c r="AI27" s="3"/>
      <c r="AJ27" s="696">
        <f>Y17</f>
        <v>6.708333333333333</v>
      </c>
      <c r="AK27" s="696"/>
      <c r="AL27" s="3"/>
      <c r="AM27" s="3"/>
      <c r="AN27" s="3"/>
      <c r="AO27" s="3"/>
      <c r="AP27" s="50"/>
      <c r="AQ27" s="693"/>
      <c r="AR27" s="693"/>
      <c r="AS27" s="693"/>
      <c r="AT27" s="693"/>
      <c r="AU27" s="693"/>
      <c r="AV27" s="693"/>
      <c r="AW27" s="693"/>
      <c r="AX27" s="693"/>
      <c r="AY27" s="693"/>
      <c r="AZ27" s="693"/>
      <c r="BA27" s="693"/>
      <c r="BB27" s="693"/>
      <c r="BC27" s="693"/>
      <c r="BD27" s="51"/>
      <c r="BE27" s="3"/>
      <c r="BF27" s="94"/>
      <c r="BG27" s="94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</row>
    <row r="28" spans="1:86" ht="16.5" customHeight="1">
      <c r="A28" s="303" t="str">
        <f>IF(C5=1,"Only SK31 options apply.","SK31 options DO NOT apply.")</f>
        <v>SK31 options DO NOT apply.</v>
      </c>
      <c r="B28" s="287"/>
      <c r="C28" s="303" t="str">
        <f>IF(C5=1,"Mainline x Stub","")</f>
        <v/>
      </c>
      <c r="D28" s="92"/>
      <c r="E28" s="94"/>
      <c r="F28" s="3"/>
      <c r="G28" s="11"/>
      <c r="H28" s="11"/>
      <c r="I28" s="11"/>
      <c r="J28" s="11"/>
      <c r="K28" s="12"/>
      <c r="L28" s="5"/>
      <c r="M28" s="5"/>
      <c r="N28" s="5"/>
      <c r="O28" s="5"/>
      <c r="P28" s="5"/>
      <c r="Q28" s="5"/>
      <c r="R28" s="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699">
        <f>VLOOKUP($C$5,Data!$B$4:$L$7,7)</f>
        <v>59.5</v>
      </c>
      <c r="AH28" s="699"/>
      <c r="AI28" s="699"/>
      <c r="AJ28" s="700" t="s">
        <v>43</v>
      </c>
      <c r="AK28" s="700"/>
      <c r="AL28" s="700"/>
      <c r="AM28" s="3"/>
      <c r="AN28" s="3"/>
      <c r="AO28" s="3"/>
      <c r="AP28" s="50"/>
      <c r="AQ28" s="693"/>
      <c r="AR28" s="693"/>
      <c r="AS28" s="693"/>
      <c r="AT28" s="693"/>
      <c r="AU28" s="693"/>
      <c r="AV28" s="693"/>
      <c r="AW28" s="693"/>
      <c r="AX28" s="693"/>
      <c r="AY28" s="693"/>
      <c r="AZ28" s="693"/>
      <c r="BA28" s="693"/>
      <c r="BB28" s="693"/>
      <c r="BC28" s="693"/>
      <c r="BD28" s="51"/>
      <c r="BE28" s="3"/>
      <c r="BF28" s="94"/>
      <c r="BG28" s="94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</row>
    <row r="29" spans="1:86" ht="16.5" customHeight="1">
      <c r="A29" s="756" t="s">
        <v>685</v>
      </c>
      <c r="B29" s="756"/>
      <c r="C29" s="310">
        <v>5</v>
      </c>
      <c r="D29" s="92"/>
      <c r="E29" s="94"/>
      <c r="F29" s="3"/>
      <c r="G29" s="3"/>
      <c r="H29" s="3"/>
      <c r="I29" s="3"/>
      <c r="J29" s="3"/>
      <c r="K29" s="274"/>
      <c r="L29" s="27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699"/>
      <c r="AH29" s="699"/>
      <c r="AI29" s="699"/>
      <c r="AJ29" s="700"/>
      <c r="AK29" s="700"/>
      <c r="AL29" s="700"/>
      <c r="AM29" s="3"/>
      <c r="AN29" s="3"/>
      <c r="AO29" s="3"/>
      <c r="AP29" s="50"/>
      <c r="AQ29" s="693"/>
      <c r="AR29" s="693"/>
      <c r="AS29" s="693"/>
      <c r="AT29" s="693"/>
      <c r="AU29" s="693"/>
      <c r="AV29" s="693"/>
      <c r="AW29" s="693"/>
      <c r="AX29" s="693"/>
      <c r="AY29" s="693"/>
      <c r="AZ29" s="693"/>
      <c r="BA29" s="693"/>
      <c r="BB29" s="693"/>
      <c r="BC29" s="693"/>
      <c r="BD29" s="51"/>
      <c r="BE29" s="3"/>
      <c r="BF29" s="94"/>
      <c r="BG29" s="94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</row>
    <row r="30" spans="1:86" ht="16.5" customHeight="1">
      <c r="A30" s="303" t="str">
        <f>IF(C5=2,"Only SK75 options apply.","SK75 options DO NOT apply.")</f>
        <v>SK75 options DO NOT apply.</v>
      </c>
      <c r="B30" s="287"/>
      <c r="C30" s="303" t="str">
        <f>IF(C5=2,"Mainline x Stub","")</f>
        <v/>
      </c>
      <c r="D30" s="92"/>
      <c r="E30" s="94"/>
      <c r="F30" s="3"/>
      <c r="G30" s="3"/>
      <c r="H30" s="3"/>
      <c r="I30" s="3"/>
      <c r="J30" s="3"/>
      <c r="K30" s="274"/>
      <c r="L30" s="274"/>
      <c r="M30" s="17"/>
      <c r="N30" s="11"/>
      <c r="O30" s="3"/>
      <c r="P30" s="3"/>
      <c r="Q30" s="17"/>
      <c r="R30" s="1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26"/>
      <c r="AH30" s="3"/>
      <c r="AI30" s="3"/>
      <c r="AJ30" s="3"/>
      <c r="AK30" s="3"/>
      <c r="AL30" s="3"/>
      <c r="AM30" s="3"/>
      <c r="AN30" s="3"/>
      <c r="AO30" s="3"/>
      <c r="AP30" s="50"/>
      <c r="AQ30" s="693"/>
      <c r="AR30" s="693"/>
      <c r="AS30" s="693"/>
      <c r="AT30" s="693"/>
      <c r="AU30" s="693"/>
      <c r="AV30" s="693"/>
      <c r="AW30" s="693"/>
      <c r="AX30" s="693"/>
      <c r="AY30" s="693"/>
      <c r="AZ30" s="693"/>
      <c r="BA30" s="693"/>
      <c r="BB30" s="693"/>
      <c r="BC30" s="693"/>
      <c r="BD30" s="51"/>
      <c r="BE30" s="3"/>
      <c r="BF30" s="94"/>
      <c r="BG30" s="94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</row>
    <row r="31" spans="1:86" ht="16.5" customHeight="1">
      <c r="A31" s="756" t="s">
        <v>68</v>
      </c>
      <c r="B31" s="756"/>
      <c r="C31" s="310">
        <v>22</v>
      </c>
      <c r="D31" s="92"/>
      <c r="E31" s="94"/>
      <c r="F31" s="3"/>
      <c r="G31" s="3"/>
      <c r="H31" s="3"/>
      <c r="I31" s="3"/>
      <c r="J31" s="3"/>
      <c r="K31" s="274"/>
      <c r="L31" s="274"/>
      <c r="M31" s="19"/>
      <c r="N31" s="3"/>
      <c r="O31" s="3"/>
      <c r="P31" s="3"/>
      <c r="Q31" s="19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684">
        <f>VLOOKUP($C$5,Data!$B$4:$L$7,10)</f>
        <v>9</v>
      </c>
      <c r="AI31" s="684"/>
      <c r="AJ31" s="3"/>
      <c r="AK31" s="3"/>
      <c r="AL31" s="3"/>
      <c r="AM31" s="3"/>
      <c r="AN31" s="3"/>
      <c r="AO31" s="3"/>
      <c r="AP31" s="50"/>
      <c r="AQ31" s="693"/>
      <c r="AR31" s="693"/>
      <c r="AS31" s="693"/>
      <c r="AT31" s="693"/>
      <c r="AU31" s="693"/>
      <c r="AV31" s="693"/>
      <c r="AW31" s="693"/>
      <c r="AX31" s="693"/>
      <c r="AY31" s="693"/>
      <c r="AZ31" s="693"/>
      <c r="BA31" s="693"/>
      <c r="BB31" s="693"/>
      <c r="BC31" s="693"/>
      <c r="BD31" s="51"/>
      <c r="BE31" s="3"/>
      <c r="BF31" s="94"/>
      <c r="BG31" s="94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</row>
    <row r="32" spans="1:86" ht="16.5" customHeight="1">
      <c r="A32" s="303" t="str">
        <f>IF(C5=3,"Only SK180 options apply.","SK180 options DO NOT apply.")</f>
        <v>SK180 options DO NOT apply.</v>
      </c>
      <c r="B32" s="92"/>
      <c r="C32" s="303" t="str">
        <f>IF(C5=3,"Mainline x Stub","")</f>
        <v/>
      </c>
      <c r="D32" s="92"/>
      <c r="E32" s="94"/>
      <c r="F32" s="3"/>
      <c r="G32" s="43"/>
      <c r="H32" s="9"/>
      <c r="I32" s="3"/>
      <c r="J32" s="3"/>
      <c r="K32" s="91"/>
      <c r="L32" s="91"/>
      <c r="M32" s="255"/>
      <c r="N32" s="91"/>
      <c r="O32" s="91"/>
      <c r="P32" s="43"/>
      <c r="Q32" s="42"/>
      <c r="R32" s="91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50"/>
      <c r="AQ32" s="693"/>
      <c r="AR32" s="693"/>
      <c r="AS32" s="693"/>
      <c r="AT32" s="693"/>
      <c r="AU32" s="693"/>
      <c r="AV32" s="693"/>
      <c r="AW32" s="693"/>
      <c r="AX32" s="693"/>
      <c r="AY32" s="693"/>
      <c r="AZ32" s="693"/>
      <c r="BA32" s="693"/>
      <c r="BB32" s="693"/>
      <c r="BC32" s="693"/>
      <c r="BD32" s="51"/>
      <c r="BE32" s="3"/>
      <c r="BF32" s="94"/>
      <c r="BG32" s="94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</row>
    <row r="33" spans="1:86" ht="16.5" customHeight="1">
      <c r="A33" s="756" t="s">
        <v>69</v>
      </c>
      <c r="B33" s="756"/>
      <c r="C33" s="310">
        <v>69</v>
      </c>
      <c r="D33" s="92"/>
      <c r="E33" s="94"/>
      <c r="F33" s="3"/>
      <c r="G33" s="39"/>
      <c r="H33" s="39"/>
      <c r="I33" s="39"/>
      <c r="J33" s="39"/>
      <c r="K33" s="694">
        <f>VLOOKUP($C$5,Data!$B$4:$L$7,9)</f>
        <v>12</v>
      </c>
      <c r="L33" s="694"/>
      <c r="M33" s="91"/>
      <c r="N33" s="91"/>
      <c r="O33" s="91"/>
      <c r="P33" s="43"/>
      <c r="Q33" s="42"/>
      <c r="R33" s="91"/>
      <c r="S33" s="684">
        <f>Y14</f>
        <v>9</v>
      </c>
      <c r="T33" s="684"/>
      <c r="U33" s="3"/>
      <c r="V33" s="3"/>
      <c r="W33" s="3"/>
      <c r="X33" s="3"/>
      <c r="Y33" s="3"/>
      <c r="Z33" s="3"/>
      <c r="AA33" s="3"/>
      <c r="AB33" s="695">
        <f>L10</f>
        <v>100.5</v>
      </c>
      <c r="AC33" s="695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50"/>
      <c r="AQ33" s="693"/>
      <c r="AR33" s="693"/>
      <c r="AS33" s="693"/>
      <c r="AT33" s="693"/>
      <c r="AU33" s="693"/>
      <c r="AV33" s="693"/>
      <c r="AW33" s="693"/>
      <c r="AX33" s="693"/>
      <c r="AY33" s="693"/>
      <c r="AZ33" s="693"/>
      <c r="BA33" s="693"/>
      <c r="BB33" s="693"/>
      <c r="BC33" s="693"/>
      <c r="BD33" s="51"/>
      <c r="BE33" s="3"/>
      <c r="BF33" s="94"/>
      <c r="BG33" s="94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</row>
    <row r="34" spans="1:86" ht="16.5" customHeight="1">
      <c r="A34" s="303" t="str">
        <f>IF(C5=4,"Only SK290 options apply.","SK290 options DO NOT apply.")</f>
        <v>Only SK290 options apply.</v>
      </c>
      <c r="B34" s="92"/>
      <c r="C34" s="303" t="str">
        <f>IF(C5=4,"Mainline x Stub","")</f>
        <v>Mainline x Stub</v>
      </c>
      <c r="D34" s="92"/>
      <c r="E34" s="94"/>
      <c r="F34" s="3"/>
      <c r="G34" s="91"/>
      <c r="H34" s="91"/>
      <c r="I34" s="3"/>
      <c r="J34" s="3"/>
      <c r="K34" s="274"/>
      <c r="L34" s="3"/>
      <c r="M34" s="3"/>
      <c r="N34" s="3"/>
      <c r="O34" s="3"/>
      <c r="P34" s="91"/>
      <c r="Q34" s="91"/>
      <c r="R34" s="91"/>
      <c r="S34" s="3"/>
      <c r="T34" s="681">
        <f>Y15</f>
        <v>56</v>
      </c>
      <c r="U34" s="681"/>
      <c r="V34" s="681"/>
      <c r="W34" s="697" t="s">
        <v>199</v>
      </c>
      <c r="X34" s="697"/>
      <c r="Y34" s="697"/>
      <c r="Z34" s="697"/>
      <c r="AA34" s="697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50"/>
      <c r="AQ34" s="693"/>
      <c r="AR34" s="693"/>
      <c r="AS34" s="693"/>
      <c r="AT34" s="693"/>
      <c r="AU34" s="693"/>
      <c r="AV34" s="693"/>
      <c r="AW34" s="693"/>
      <c r="AX34" s="693"/>
      <c r="AY34" s="693"/>
      <c r="AZ34" s="693"/>
      <c r="BA34" s="693"/>
      <c r="BB34" s="693"/>
      <c r="BC34" s="693"/>
      <c r="BD34" s="51"/>
      <c r="BE34" s="3"/>
      <c r="BF34" s="94"/>
      <c r="BG34" s="94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</row>
    <row r="35" spans="1:86" ht="16.5" customHeight="1">
      <c r="A35" s="756" t="s">
        <v>695</v>
      </c>
      <c r="B35" s="756"/>
      <c r="C35" s="310">
        <v>72</v>
      </c>
      <c r="D35" s="92"/>
      <c r="E35" s="94"/>
      <c r="F35" s="3"/>
      <c r="G35" s="3"/>
      <c r="H35" s="3"/>
      <c r="I35" s="34" t="s">
        <v>44</v>
      </c>
      <c r="J35" s="3"/>
      <c r="K35" s="274"/>
      <c r="L35" s="27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50"/>
      <c r="AQ35" s="693"/>
      <c r="AR35" s="693"/>
      <c r="AS35" s="693"/>
      <c r="AT35" s="693"/>
      <c r="AU35" s="693"/>
      <c r="AV35" s="693"/>
      <c r="AW35" s="693"/>
      <c r="AX35" s="693"/>
      <c r="AY35" s="693"/>
      <c r="AZ35" s="693"/>
      <c r="BA35" s="693"/>
      <c r="BB35" s="693"/>
      <c r="BC35" s="693"/>
      <c r="BD35" s="51"/>
      <c r="BE35" s="3"/>
      <c r="BF35" s="94"/>
      <c r="BG35" s="94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</row>
    <row r="36" spans="1:86" ht="16.5" customHeight="1">
      <c r="A36" s="92"/>
      <c r="B36" s="92"/>
      <c r="C36" s="92"/>
      <c r="D36" s="92"/>
      <c r="E36" s="94"/>
      <c r="F36" s="3"/>
      <c r="G36" s="3"/>
      <c r="H36" s="3"/>
      <c r="I36" s="3"/>
      <c r="J36" s="3"/>
      <c r="K36" s="274"/>
      <c r="L36" s="27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52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53"/>
      <c r="BE36" s="3"/>
      <c r="BF36" s="94"/>
      <c r="BG36" s="94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</row>
    <row r="37" spans="1:86" ht="16.5" customHeight="1">
      <c r="A37" s="302" t="s">
        <v>212</v>
      </c>
      <c r="B37" s="114"/>
      <c r="C37" s="310">
        <v>1</v>
      </c>
      <c r="D37" s="92"/>
      <c r="E37" s="94"/>
      <c r="F37" s="3"/>
      <c r="G37" s="3"/>
      <c r="H37" s="679" t="s">
        <v>200</v>
      </c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79"/>
      <c r="AC37" s="679"/>
      <c r="AD37" s="679"/>
      <c r="AE37" s="679"/>
      <c r="AF37" s="679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94"/>
      <c r="BG37" s="94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</row>
    <row r="38" spans="1:86" ht="16.5" customHeight="1">
      <c r="A38" s="92"/>
      <c r="B38" s="92"/>
      <c r="C38" s="92"/>
      <c r="D38" s="92"/>
      <c r="E38" s="94"/>
      <c r="F38" s="3"/>
      <c r="G38" s="3"/>
      <c r="H38" s="679"/>
      <c r="I38" s="679"/>
      <c r="J38" s="679"/>
      <c r="K38" s="679"/>
      <c r="L38" s="679"/>
      <c r="M38" s="679"/>
      <c r="N38" s="679"/>
      <c r="O38" s="679"/>
      <c r="P38" s="679"/>
      <c r="Q38" s="679"/>
      <c r="R38" s="679"/>
      <c r="S38" s="679"/>
      <c r="T38" s="679"/>
      <c r="U38" s="679"/>
      <c r="V38" s="679"/>
      <c r="W38" s="679"/>
      <c r="X38" s="679"/>
      <c r="Y38" s="679"/>
      <c r="Z38" s="679"/>
      <c r="AA38" s="679"/>
      <c r="AB38" s="679"/>
      <c r="AC38" s="679"/>
      <c r="AD38" s="679"/>
      <c r="AE38" s="679"/>
      <c r="AF38" s="679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94"/>
      <c r="BG38" s="94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</row>
    <row r="39" spans="1:86" ht="16.5" customHeight="1">
      <c r="A39" s="300" t="s">
        <v>187</v>
      </c>
      <c r="B39" s="114"/>
      <c r="C39" s="114"/>
      <c r="D39" s="114"/>
      <c r="E39" s="94"/>
      <c r="F39" s="3"/>
      <c r="G39" s="20"/>
      <c r="H39" s="3"/>
      <c r="I39" s="3"/>
      <c r="J39" s="3"/>
      <c r="K39" s="274"/>
      <c r="L39" s="274"/>
      <c r="M39" s="3"/>
      <c r="N39" s="3"/>
      <c r="O39" s="3"/>
      <c r="P39" s="3"/>
      <c r="Q39" s="3"/>
      <c r="R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94"/>
      <c r="BG39" s="94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</row>
    <row r="40" spans="1:86" ht="16.5" customHeight="1">
      <c r="A40" s="671" t="s">
        <v>184</v>
      </c>
      <c r="B40" s="671"/>
      <c r="C40" s="226">
        <f>(C2-2*((Y15*Y17*O15/12-C8*Z9)*AJ15+C8*Z9)-(AJ6+((Q55+Q56+AW55+AW56)*Y15*Y17-AJ9)*AJ15))/((C8*L8+(Y15*Y17-C8*L8)*AJ15)*O14/12)</f>
        <v>45.966007881620371</v>
      </c>
      <c r="D40" s="227"/>
      <c r="E40" s="94"/>
      <c r="F40" s="3"/>
      <c r="G40" s="44"/>
      <c r="H40" s="3"/>
      <c r="I40" s="3"/>
      <c r="J40" s="3"/>
      <c r="K40" s="274"/>
      <c r="L40" s="274"/>
      <c r="M40" s="3"/>
      <c r="N40" s="3"/>
      <c r="O40" s="3"/>
      <c r="P40" s="3"/>
      <c r="Q40" s="3"/>
      <c r="R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777">
        <f>O16+S52+P51/12+Q55+AY52+AV51/12+AW55</f>
        <v>207.48541666666662</v>
      </c>
      <c r="AH40" s="777"/>
      <c r="AI40" s="777"/>
      <c r="AJ40" s="240" t="s">
        <v>13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94"/>
      <c r="BG40" s="94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</row>
    <row r="41" spans="1:86" ht="16.5" customHeight="1">
      <c r="A41" s="671" t="s">
        <v>185</v>
      </c>
      <c r="B41" s="671"/>
      <c r="C41" s="292">
        <f>ROUNDUP((C2-2*((Y15*Y17*O15/12-C8*Z9)*AJ15+C8*Z9)-(AJ6+((Q55+Q56+AW55+AW56)*Y15*Y17-AJ9)*AJ15))/((C8*L8+(Y15*Y17-C8*L8)*AJ15)*O14/12),0)</f>
        <v>46</v>
      </c>
      <c r="D41" s="227"/>
      <c r="E41" s="94"/>
      <c r="F41" s="3"/>
      <c r="G41" s="7"/>
      <c r="H41" s="3"/>
      <c r="I41" s="3"/>
      <c r="J41" s="3"/>
      <c r="K41" s="274"/>
      <c r="L41" s="274"/>
      <c r="M41" s="3"/>
      <c r="N41" s="3"/>
      <c r="O41" s="3"/>
      <c r="P41" s="3"/>
      <c r="Q41" s="3"/>
      <c r="R41" s="274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94"/>
      <c r="BG41" s="94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</row>
    <row r="42" spans="1:86" ht="16.5" customHeight="1">
      <c r="A42" s="672" t="s">
        <v>186</v>
      </c>
      <c r="B42" s="673"/>
      <c r="C42" s="708">
        <f>(C8*L8+(Y15*Y17-C8*L8)*AJ15)*O14/12*C41+2*((Y15*Y17*O15/12-C8*Z9)*AJ15+C8*Z9)+AJ6+((Q55+Q56+AW55+AW56)*Y15*Y17-AJ9)*AJ15</f>
        <v>50033.983393735914</v>
      </c>
      <c r="D42" s="708"/>
      <c r="E42" s="94"/>
      <c r="F42" s="3"/>
      <c r="G42" s="110"/>
      <c r="H42" s="111"/>
      <c r="I42" s="70"/>
      <c r="J42" s="72"/>
      <c r="K42" s="71"/>
      <c r="L42" s="71"/>
      <c r="M42" s="72"/>
      <c r="N42" s="72"/>
      <c r="O42" s="72"/>
      <c r="P42" s="72"/>
      <c r="Q42" s="72"/>
      <c r="R42" s="71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228"/>
      <c r="BC42" s="229"/>
      <c r="BD42" s="3"/>
      <c r="BE42" s="3"/>
      <c r="BF42" s="94"/>
      <c r="BG42" s="94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</row>
    <row r="43" spans="1:86" ht="16.5" customHeight="1">
      <c r="A43" s="92"/>
      <c r="B43" s="92"/>
      <c r="C43" s="92"/>
      <c r="D43" s="92"/>
      <c r="E43" s="94"/>
      <c r="F43" s="3"/>
      <c r="G43" s="110"/>
      <c r="H43" s="112"/>
      <c r="I43" s="74"/>
      <c r="J43" s="61"/>
      <c r="K43" s="61"/>
      <c r="L43" s="61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76">
        <f>C41</f>
        <v>46</v>
      </c>
      <c r="AB43" s="676"/>
      <c r="AC43" s="698" t="s">
        <v>45</v>
      </c>
      <c r="AD43" s="698"/>
      <c r="AE43" s="698"/>
      <c r="AF43" s="698"/>
      <c r="AG43" s="698"/>
      <c r="AH43" s="698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230"/>
      <c r="BC43" s="231"/>
      <c r="BD43" s="3"/>
      <c r="BE43" s="3"/>
      <c r="BF43" s="94"/>
      <c r="BG43" s="94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</row>
    <row r="44" spans="1:86" ht="16.5" customHeight="1">
      <c r="A44" s="211" t="s">
        <v>193</v>
      </c>
      <c r="B44" s="92"/>
      <c r="C44" s="92"/>
      <c r="D44" s="92"/>
      <c r="E44" s="94"/>
      <c r="F44" s="3"/>
      <c r="G44" s="110"/>
      <c r="H44" s="112"/>
      <c r="I44" s="74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76"/>
      <c r="AB44" s="676"/>
      <c r="AC44" s="698"/>
      <c r="AD44" s="698"/>
      <c r="AE44" s="698"/>
      <c r="AF44" s="698"/>
      <c r="AG44" s="698"/>
      <c r="AH44" s="698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230"/>
      <c r="BC44" s="231"/>
      <c r="BD44" s="3"/>
      <c r="BE44" s="3"/>
      <c r="BF44" s="94"/>
      <c r="BG44" s="94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</row>
    <row r="45" spans="1:86" ht="16.5" customHeight="1">
      <c r="A45" s="211" t="s">
        <v>194</v>
      </c>
      <c r="B45" s="92"/>
      <c r="C45" s="92"/>
      <c r="D45" s="92"/>
      <c r="E45" s="94"/>
      <c r="F45" s="3"/>
      <c r="G45" s="110"/>
      <c r="H45" s="112"/>
      <c r="I45" s="74"/>
      <c r="J45" s="61"/>
      <c r="K45" s="61"/>
      <c r="L45" s="61"/>
      <c r="M45" s="62"/>
      <c r="N45" s="62"/>
      <c r="O45" s="62"/>
      <c r="P45" s="62"/>
      <c r="Q45" s="62"/>
      <c r="R45" s="64"/>
      <c r="S45" s="64"/>
      <c r="T45" s="64"/>
      <c r="U45" s="65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6"/>
      <c r="AZ45" s="66"/>
      <c r="BA45" s="62"/>
      <c r="BB45" s="230"/>
      <c r="BC45" s="231"/>
      <c r="BD45" s="3"/>
      <c r="BE45" s="3"/>
      <c r="BF45" s="94"/>
      <c r="BG45" s="94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</row>
    <row r="46" spans="1:86" ht="16.5" customHeight="1">
      <c r="A46" s="92"/>
      <c r="B46" s="92"/>
      <c r="C46" s="92"/>
      <c r="D46" s="92"/>
      <c r="E46" s="94"/>
      <c r="F46" s="3"/>
      <c r="G46" s="110"/>
      <c r="H46" s="112"/>
      <c r="I46" s="74"/>
      <c r="J46" s="675">
        <f>VLOOKUP($C$5,Data!$B$4:$L$5,5)</f>
        <v>10.08</v>
      </c>
      <c r="K46" s="675"/>
      <c r="L46" s="675"/>
      <c r="M46" s="69" t="s">
        <v>8</v>
      </c>
      <c r="N46" s="67" t="s">
        <v>46</v>
      </c>
      <c r="O46" s="62"/>
      <c r="P46" s="62"/>
      <c r="Q46" s="62"/>
      <c r="R46" s="680">
        <f>O14</f>
        <v>48.3</v>
      </c>
      <c r="S46" s="680"/>
      <c r="T46" s="101" t="s">
        <v>8</v>
      </c>
      <c r="U46" s="100" t="s">
        <v>46</v>
      </c>
      <c r="V46" s="99"/>
      <c r="W46" s="66"/>
      <c r="X46" s="66"/>
      <c r="Y46" s="66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735"/>
      <c r="AZ46" s="735"/>
      <c r="BA46" s="62"/>
      <c r="BB46" s="230"/>
      <c r="BC46" s="231"/>
      <c r="BD46" s="3"/>
      <c r="BE46" s="3"/>
      <c r="BF46" s="94"/>
      <c r="BG46" s="94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</row>
    <row r="47" spans="1:86" ht="16.5" customHeight="1">
      <c r="A47" s="715" t="s">
        <v>261</v>
      </c>
      <c r="B47" s="715"/>
      <c r="C47" s="715"/>
      <c r="D47" s="715"/>
      <c r="E47" s="94"/>
      <c r="F47" s="3"/>
      <c r="G47" s="110"/>
      <c r="H47" s="112"/>
      <c r="I47" s="74"/>
      <c r="J47" s="61"/>
      <c r="K47" s="61"/>
      <c r="L47" s="61"/>
      <c r="M47" s="68"/>
      <c r="N47" s="62"/>
      <c r="O47" s="62"/>
      <c r="P47" s="62"/>
      <c r="Q47" s="62"/>
      <c r="R47" s="64"/>
      <c r="S47" s="64"/>
      <c r="T47" s="64"/>
      <c r="U47" s="99"/>
      <c r="V47" s="99"/>
      <c r="W47" s="62"/>
      <c r="X47" s="62"/>
      <c r="Y47" s="168"/>
      <c r="Z47" s="171"/>
      <c r="AA47" s="171"/>
      <c r="AB47" s="171"/>
      <c r="AC47" s="171"/>
      <c r="AD47" s="171"/>
      <c r="AE47" s="171"/>
      <c r="AF47" s="784" t="s">
        <v>217</v>
      </c>
      <c r="AG47" s="784"/>
      <c r="AH47" s="784"/>
      <c r="AI47" s="784"/>
      <c r="AJ47" s="784"/>
      <c r="AK47" s="784"/>
      <c r="AL47" s="784"/>
      <c r="AM47" s="62"/>
      <c r="AN47" s="62"/>
      <c r="AO47" s="168"/>
      <c r="AP47" s="168"/>
      <c r="AQ47" s="168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230"/>
      <c r="BC47" s="231"/>
      <c r="BD47" s="3"/>
      <c r="BE47" s="3"/>
      <c r="BF47" s="94"/>
      <c r="BG47" s="94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</row>
    <row r="48" spans="1:86" ht="16.5" customHeight="1">
      <c r="A48" s="715"/>
      <c r="B48" s="715"/>
      <c r="C48" s="715"/>
      <c r="D48" s="715"/>
      <c r="E48" s="94"/>
      <c r="F48" s="3"/>
      <c r="G48" s="110"/>
      <c r="H48" s="112"/>
      <c r="I48" s="74"/>
      <c r="J48" s="61"/>
      <c r="K48" s="61"/>
      <c r="L48" s="764" t="str">
        <f>IF(C5=1,VLOOKUP(C15,Data!D106:P134,2),IF(C5=2,VLOOKUP(C17,Data!D13:P85,2),IF(C5=3,VLOOKUP(C19,Data!Q13:AC90,2),VLOOKUP(C21,Data!Q106:AC190,2))))</f>
        <v>36" x 30"</v>
      </c>
      <c r="M48" s="764"/>
      <c r="N48" s="764"/>
      <c r="O48" s="735" t="s">
        <v>154</v>
      </c>
      <c r="P48" s="735"/>
      <c r="Q48" s="735"/>
      <c r="R48" s="735"/>
      <c r="S48" s="224">
        <f>IF(C23=1,C13,ROUND(0.5*C13,0))</f>
        <v>4</v>
      </c>
      <c r="T48" s="224" t="s">
        <v>155</v>
      </c>
      <c r="U48" s="62"/>
      <c r="V48" s="168"/>
      <c r="W48" s="168"/>
      <c r="X48" s="168"/>
      <c r="Y48" s="171"/>
      <c r="Z48" s="171"/>
      <c r="AA48" s="171"/>
      <c r="AB48" s="171"/>
      <c r="AC48" s="171"/>
      <c r="AD48" s="171"/>
      <c r="AE48" s="171"/>
      <c r="AF48" s="783" t="s">
        <v>216</v>
      </c>
      <c r="AG48" s="783"/>
      <c r="AH48" s="783"/>
      <c r="AI48" s="783"/>
      <c r="AJ48" s="683">
        <f>Y15*N19</f>
        <v>11539.966666666667</v>
      </c>
      <c r="AK48" s="683"/>
      <c r="AL48" s="683"/>
      <c r="AM48" s="69" t="s">
        <v>47</v>
      </c>
      <c r="AN48" s="66"/>
      <c r="AO48" s="168"/>
      <c r="AP48" s="168"/>
      <c r="AQ48" s="168"/>
      <c r="AR48" s="764" t="str">
        <f>IF(C5=1,VLOOKUP(C29,Data!D106:P134,2),IF(C5=2,VLOOKUP(C31,Data!D13:P85,2),IF(C5=3,VLOOKUP(C33,Data!Q13:AC90,2),VLOOKUP(C35,Data!Q106:AC190,2))))</f>
        <v>48" x 30"</v>
      </c>
      <c r="AS48" s="764"/>
      <c r="AT48" s="764"/>
      <c r="AU48" s="735" t="s">
        <v>154</v>
      </c>
      <c r="AV48" s="735"/>
      <c r="AW48" s="735"/>
      <c r="AX48" s="735"/>
      <c r="AY48" s="224">
        <f>IF(C37=1,C27,ROUND(0.5*C27,0))</f>
        <v>5</v>
      </c>
      <c r="AZ48" s="224" t="s">
        <v>155</v>
      </c>
      <c r="BA48" s="62"/>
      <c r="BB48" s="230"/>
      <c r="BC48" s="231"/>
      <c r="BD48" s="3"/>
      <c r="BE48" s="3"/>
      <c r="BF48" s="94"/>
      <c r="BG48" s="94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</row>
    <row r="49" spans="1:86" ht="16.5" customHeight="1">
      <c r="A49" s="92"/>
      <c r="B49" s="92"/>
      <c r="C49" s="92"/>
      <c r="D49" s="92"/>
      <c r="E49" s="94"/>
      <c r="F49" s="3"/>
      <c r="G49" s="110"/>
      <c r="H49" s="112"/>
      <c r="I49" s="74"/>
      <c r="J49" s="61"/>
      <c r="K49" s="61"/>
      <c r="L49" s="311" t="s">
        <v>240</v>
      </c>
      <c r="M49" s="173"/>
      <c r="N49" s="173"/>
      <c r="O49" s="173"/>
      <c r="P49" s="732" t="s">
        <v>72</v>
      </c>
      <c r="Q49" s="732"/>
      <c r="R49" s="732"/>
      <c r="S49" s="732" t="s">
        <v>73</v>
      </c>
      <c r="T49" s="732"/>
      <c r="U49" s="62"/>
      <c r="V49" s="168"/>
      <c r="W49" s="168"/>
      <c r="X49" s="66"/>
      <c r="Y49" s="66"/>
      <c r="Z49" s="168"/>
      <c r="AA49" s="168"/>
      <c r="AB49" s="168"/>
      <c r="AC49" s="168"/>
      <c r="AD49" s="168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172"/>
      <c r="AR49" s="311" t="s">
        <v>241</v>
      </c>
      <c r="AS49" s="173"/>
      <c r="AT49" s="173"/>
      <c r="AU49" s="173"/>
      <c r="AV49" s="732" t="s">
        <v>72</v>
      </c>
      <c r="AW49" s="732"/>
      <c r="AX49" s="732"/>
      <c r="AY49" s="732" t="s">
        <v>73</v>
      </c>
      <c r="AZ49" s="732"/>
      <c r="BA49" s="62"/>
      <c r="BB49" s="230"/>
      <c r="BC49" s="231"/>
      <c r="BD49" s="3"/>
      <c r="BE49" s="3"/>
      <c r="BF49" s="94"/>
      <c r="BG49" s="94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</row>
    <row r="50" spans="1:86" ht="16.5" customHeight="1">
      <c r="A50" s="92"/>
      <c r="B50" s="92"/>
      <c r="C50" s="92"/>
      <c r="D50" s="92"/>
      <c r="E50" s="94"/>
      <c r="F50" s="94"/>
      <c r="G50" s="94"/>
      <c r="H50" s="94"/>
      <c r="I50" s="74"/>
      <c r="J50" s="61"/>
      <c r="K50" s="61"/>
      <c r="L50" s="220" t="s">
        <v>152</v>
      </c>
      <c r="M50" s="218"/>
      <c r="N50" s="218"/>
      <c r="O50" s="170"/>
      <c r="P50" s="730">
        <f>IF(C5=1,VLOOKUP(C15,Data!D106:P134,5),IF(C5=2,VLOOKUP(C17,Data!D13:P85,5),IF(C5=3,VLOOKUP(C19,Data!Q13:AC90,5),VLOOKUP(C21,Data!Q106:AC190,5))))</f>
        <v>36</v>
      </c>
      <c r="Q50" s="730"/>
      <c r="R50" s="219"/>
      <c r="S50" s="730">
        <f>IF(C5=1,VLOOKUP(C15,Data!D106:P134,6),IF(C5=2,VLOOKUP(C17,Data!D13:P85,6),IF(C5=3,VLOOKUP(C19,Data!Q13:AC90,6),VLOOKUP(C21,Data!Q106:AC190,6))))</f>
        <v>30</v>
      </c>
      <c r="T50" s="730"/>
      <c r="U50" s="218"/>
      <c r="V50" s="168"/>
      <c r="W50" s="168"/>
      <c r="X50" s="168"/>
      <c r="Y50" s="168"/>
      <c r="Z50" s="168"/>
      <c r="AA50" s="168"/>
      <c r="AB50" s="168"/>
      <c r="AC50" s="168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220" t="s">
        <v>152</v>
      </c>
      <c r="AS50" s="218"/>
      <c r="AT50" s="218"/>
      <c r="AU50" s="170"/>
      <c r="AV50" s="730">
        <f>IF(C5=1,VLOOKUP(C29,Data!D106:P134,5),IF(C5=2,VLOOKUP(C31,Data!D13:P85,5),IF(C5=3,VLOOKUP(C33,Data!Q13:AC90,5),VLOOKUP(C35,Data!Q106:AC190,5))))</f>
        <v>48</v>
      </c>
      <c r="AW50" s="730"/>
      <c r="AX50" s="219"/>
      <c r="AY50" s="730">
        <f>IF(C5=1,VLOOKUP(C29,Data!D106:P134,6),IF(C5=2,VLOOKUP(C31,Data!D13:P85,6),IF(C5=3,VLOOKUP(C33,Data!Q13:AC90,6),VLOOKUP(C35,Data!Q106:AC190,6))))</f>
        <v>30</v>
      </c>
      <c r="AZ50" s="730"/>
      <c r="BA50" s="62"/>
      <c r="BB50" s="173"/>
      <c r="BC50" s="232"/>
      <c r="BD50" s="779">
        <f>(Y13*L10+(Y13-1)*Y14)/12</f>
        <v>54</v>
      </c>
      <c r="BE50" s="778"/>
      <c r="BF50" s="236" t="s">
        <v>13</v>
      </c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</row>
    <row r="51" spans="1:86" ht="16.5" customHeight="1">
      <c r="A51" s="92"/>
      <c r="B51" s="92"/>
      <c r="C51" s="92"/>
      <c r="D51" s="92"/>
      <c r="E51" s="94"/>
      <c r="F51" s="3"/>
      <c r="G51" s="110"/>
      <c r="H51" s="112"/>
      <c r="I51" s="74"/>
      <c r="J51" s="61"/>
      <c r="K51" s="61"/>
      <c r="L51" s="221" t="s">
        <v>153</v>
      </c>
      <c r="M51" s="62"/>
      <c r="N51" s="62"/>
      <c r="O51" s="173"/>
      <c r="P51" s="731">
        <f>IF(C5=1,VLOOKUP(C15,Data!D106:P134,9),IF(C5=2,VLOOKUP(C17,Data!D13:P85,9),IF(C5=3,VLOOKUP(C19,Data!Q13:AC90,9),VLOOKUP(C21,Data!Q106:AC190,9))))</f>
        <v>40.9</v>
      </c>
      <c r="Q51" s="731"/>
      <c r="R51" s="175"/>
      <c r="S51" s="731">
        <f>IF(C5=1,VLOOKUP(C15,Data!D106:P134,10),IF(C5=2,VLOOKUP(C17,Data!D13:P85,10),IF(C5=3,VLOOKUP(C19,Data!Q13:AC90,10),VLOOKUP(C21,Data!Q106:AC190,10))))</f>
        <v>34.89</v>
      </c>
      <c r="T51" s="731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82">
        <f>C8</f>
        <v>6</v>
      </c>
      <c r="AF51" s="682"/>
      <c r="AG51" s="63" t="s">
        <v>215</v>
      </c>
      <c r="AH51" s="62"/>
      <c r="AI51" s="62"/>
      <c r="AJ51" s="62"/>
      <c r="AK51" s="168"/>
      <c r="AL51" s="62"/>
      <c r="AM51" s="168"/>
      <c r="AN51" s="62"/>
      <c r="AO51" s="62"/>
      <c r="AP51" s="62"/>
      <c r="AQ51" s="62"/>
      <c r="AR51" s="221" t="s">
        <v>153</v>
      </c>
      <c r="AS51" s="62"/>
      <c r="AT51" s="62"/>
      <c r="AU51" s="173"/>
      <c r="AV51" s="731">
        <f>IF(C5=1,VLOOKUP(C29,Data!D106:P134,9),IF(C5=2,VLOOKUP(C31,Data!D13:P85,9),IF(C5=3,VLOOKUP(C33,Data!Q13:AC90,9),VLOOKUP(C35,Data!Q106:AC190,9))))</f>
        <v>54.48</v>
      </c>
      <c r="AW51" s="731"/>
      <c r="AX51" s="175"/>
      <c r="AY51" s="731">
        <f>IF(C5=1,VLOOKUP(C29,Data!D106:P134,10),IF(C5=2,VLOOKUP(C31,Data!D13:P85,10),IF(C5=3,VLOOKUP(C33,Data!Q13:AC90,10),VLOOKUP(C35,Data!Q106:AC190,10))))</f>
        <v>34.89</v>
      </c>
      <c r="AZ51" s="731"/>
      <c r="BA51" s="62"/>
      <c r="BB51" s="230"/>
      <c r="BC51" s="231"/>
      <c r="BD51" s="3"/>
      <c r="BE51" s="3"/>
      <c r="BF51" s="94"/>
      <c r="BG51" s="94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</row>
    <row r="52" spans="1:86" ht="16.5" customHeight="1">
      <c r="A52" s="92"/>
      <c r="B52" s="92"/>
      <c r="C52" s="92"/>
      <c r="D52" s="92"/>
      <c r="E52" s="94"/>
      <c r="F52" s="3"/>
      <c r="G52" s="110"/>
      <c r="H52" s="112"/>
      <c r="I52" s="305" t="s">
        <v>227</v>
      </c>
      <c r="J52" s="61"/>
      <c r="K52" s="61"/>
      <c r="L52" s="306" t="s">
        <v>228</v>
      </c>
      <c r="M52" s="62"/>
      <c r="N52" s="62"/>
      <c r="O52" s="173"/>
      <c r="P52" s="731">
        <f>IF(C5=1,(C13*L10+(C13-1)*Y14-L10+VLOOKUP(C15,Data!D106:P134,10))/12,IF(C5=2,(C13*L10+(C13-1)*Y14-L10+VLOOKUP(C17,Data!D13:P85,10))/12,IF(C5=3,(C13*L10+(C13-1)*Y14-L10+VLOOKUP(C19,Data!Q13:AC90,10))/12,(C13*L10+(C13-1)*Y14-L10+VLOOKUP(C21,Data!Q106:AC190,10))/12)))</f>
        <v>30.282499999999999</v>
      </c>
      <c r="Q52" s="731"/>
      <c r="R52" s="175"/>
      <c r="S52" s="731">
        <f>IF(C5=1,VLOOKUP(C15,Data!D106:P134,4)/12-1,IF(C5=2,VLOOKUP(C17,Data!D13:P85,4)/12-1,IF(C5=3,VLOOKUP(C19,Data!Q13:AC90,4)/12-1,VLOOKUP(C21,Data!Q106:AC190,4)/12-1)))</f>
        <v>3</v>
      </c>
      <c r="T52" s="731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3" t="s">
        <v>214</v>
      </c>
      <c r="AG52" s="62"/>
      <c r="AH52" s="62"/>
      <c r="AI52" s="62"/>
      <c r="AJ52" s="62"/>
      <c r="AK52" s="168"/>
      <c r="AL52" s="62"/>
      <c r="AM52" s="168"/>
      <c r="AN52" s="62"/>
      <c r="AO52" s="62"/>
      <c r="AP52" s="62"/>
      <c r="AQ52" s="62"/>
      <c r="AR52" s="306" t="s">
        <v>228</v>
      </c>
      <c r="AS52" s="62"/>
      <c r="AT52" s="62"/>
      <c r="AU52" s="173"/>
      <c r="AV52" s="731">
        <f>IF(C5=1,(C27*L10+(C27-1)*Y14-L10+VLOOKUP(C29,Data!D106:P134,10))/12,IF(C5=2,(C27*L10+(C27-1)*Y14-L10+VLOOKUP(C31,Data!D13:P85,10))/12,IF(C5=3,(C27*L10+(C27-1)*Y14-L10+VLOOKUP(C33,Data!Q13:AC90,10))/12,(C27*L10+(C27-1)*Y14-L10+VLOOKUP(C35,Data!Q106:AC190,10))/12)))</f>
        <v>39.407499999999999</v>
      </c>
      <c r="AW52" s="731"/>
      <c r="AX52" s="175"/>
      <c r="AY52" s="731">
        <f>IF(C5=1,VLOOKUP(C29,Data!D106:P134,4)/12-1,IF(C5=2,VLOOKUP(C31,Data!D13:P85,4)/12-1,IF(C5=3,VLOOKUP(C33,Data!Q13:AC90,4)/12-1,VLOOKUP(C35,Data!Q106:AC190,4)/12-1)))</f>
        <v>3</v>
      </c>
      <c r="AZ52" s="731"/>
      <c r="BA52" s="62"/>
      <c r="BB52" s="173"/>
      <c r="BC52" s="304" t="s">
        <v>226</v>
      </c>
      <c r="BD52" s="778">
        <f>(Y13*L10+(Y13-1)*Y14+2*K33)/12</f>
        <v>56</v>
      </c>
      <c r="BE52" s="778"/>
      <c r="BF52" s="778"/>
      <c r="BG52" s="237" t="s">
        <v>13</v>
      </c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</row>
    <row r="53" spans="1:86" ht="16.5" customHeight="1">
      <c r="A53" s="92"/>
      <c r="B53" s="92"/>
      <c r="C53" s="92"/>
      <c r="D53" s="92"/>
      <c r="E53" s="94"/>
      <c r="F53" s="3"/>
      <c r="G53" s="110"/>
      <c r="H53" s="112"/>
      <c r="I53" s="74"/>
      <c r="J53" s="61"/>
      <c r="K53" s="61"/>
      <c r="L53" s="307" t="s">
        <v>157</v>
      </c>
      <c r="M53" s="308"/>
      <c r="N53" s="308"/>
      <c r="O53" s="308"/>
      <c r="P53" s="782">
        <f>IF(C5=1,VLOOKUP(C15,Data!D106:P134,7),IF(C5=2,VLOOKUP(C17,Data!D13:P85,7),IF(C5=3,VLOOKUP(C19,Data!Q13:AC90,7),VLOOKUP(C21,Data!Q106:AC190,7))))*P52</f>
        <v>214.05437894774903</v>
      </c>
      <c r="Q53" s="782"/>
      <c r="R53" s="309"/>
      <c r="S53" s="782">
        <f>IF(C5=1,VLOOKUP(C15,Data!D106:P134,8),IF(C5=2,VLOOKUP(C17,Data!D13:P85,8),IF(C5=3,VLOOKUP(C19,Data!Q13:AC90,8),VLOOKUP(C21,Data!Q106:AC190,8))))*S52</f>
        <v>14.726215563702155</v>
      </c>
      <c r="T53" s="782"/>
      <c r="U53" s="173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307" t="s">
        <v>157</v>
      </c>
      <c r="AS53" s="308"/>
      <c r="AT53" s="308"/>
      <c r="AU53" s="308"/>
      <c r="AV53" s="782">
        <f>IF(C5=1,VLOOKUP(C29,Data!D106:P134,7),IF(C5=2,VLOOKUP(C31,Data!D13:P85,7),IF(C5=3,VLOOKUP(C33,Data!Q13:AC90,7),VLOOKUP(C35,Data!Q106:AC190,7))))*AV52</f>
        <v>495.20924998535907</v>
      </c>
      <c r="AW53" s="782"/>
      <c r="AX53" s="309"/>
      <c r="AY53" s="782">
        <f>IF(C5=1,VLOOKUP(C29,Data!D106:P134,8),IF(C5=2,VLOOKUP(C31,Data!D13:P85,8),IF(C5=3,VLOOKUP(C33,Data!Q13:AC90,8),VLOOKUP(C35,Data!Q106:AC190,8))))*AY52</f>
        <v>14.726215563702155</v>
      </c>
      <c r="AZ53" s="782"/>
      <c r="BA53" s="62"/>
      <c r="BB53" s="230"/>
      <c r="BC53" s="231"/>
      <c r="BD53" s="3"/>
      <c r="BE53" s="3"/>
      <c r="BF53" s="94"/>
      <c r="BG53" s="94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</row>
    <row r="54" spans="1:86" ht="16.5" customHeight="1">
      <c r="A54" s="92"/>
      <c r="B54" s="92"/>
      <c r="C54" s="92"/>
      <c r="D54" s="92"/>
      <c r="E54" s="778"/>
      <c r="F54" s="778"/>
      <c r="G54" s="778"/>
      <c r="H54" s="239"/>
      <c r="I54" s="74"/>
      <c r="J54" s="61"/>
      <c r="K54" s="61"/>
      <c r="L54" s="223" t="s">
        <v>158</v>
      </c>
      <c r="M54" s="174"/>
      <c r="N54" s="174"/>
      <c r="O54" s="174"/>
      <c r="P54" s="734">
        <f>IF(C5=1,VLOOKUP(C15,Data!D106:P134,11),IF(C5=2,VLOOKUP(C17,Data!D13:P85,11),IF(C5=3,VLOOKUP(C19,Data!Q13:AC90,11),VLOOKUP(C21,Data!Q106:AC190,11))))*P52</f>
        <v>276.29035929597535</v>
      </c>
      <c r="Q54" s="734"/>
      <c r="R54" s="176"/>
      <c r="S54" s="734">
        <f>IF(C5=1,VLOOKUP(C15,Data!D106:P134,12),IF(C5=2,VLOOKUP(C17,Data!D13:P85,12),IF(C5=3,VLOOKUP(C19,Data!Q13:AC90,12),VLOOKUP(C21,Data!Q106:AC190,12))))*S52</f>
        <v>19.918222658781065</v>
      </c>
      <c r="T54" s="734"/>
      <c r="U54" s="174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223" t="s">
        <v>158</v>
      </c>
      <c r="AS54" s="174"/>
      <c r="AT54" s="174"/>
      <c r="AU54" s="174"/>
      <c r="AV54" s="734">
        <f>IF(C5=1,VLOOKUP(C29,Data!D106:P134,11),IF(C5=2,VLOOKUP(C31,Data!D13:P85,11),IF(C5=3,VLOOKUP(C33,Data!Q13:AC90,11),VLOOKUP(C35,Data!Q106:AC190,11))))*AV52</f>
        <v>637.94093606238914</v>
      </c>
      <c r="AW54" s="734"/>
      <c r="AX54" s="176"/>
      <c r="AY54" s="734">
        <f>IF(C5=1,VLOOKUP(C29,Data!D106:P134,12),IF(C5=2,VLOOKUP(C31,Data!D13:P85,12),IF(C5=3,VLOOKUP(C33,Data!Q13:AC90,12),VLOOKUP(C35,Data!Q106:AC190,12))))*AY52</f>
        <v>19.918222658781065</v>
      </c>
      <c r="AZ54" s="734"/>
      <c r="BA54" s="62"/>
      <c r="BB54" s="230"/>
      <c r="BC54" s="231"/>
      <c r="BD54" s="3"/>
      <c r="BE54" s="3"/>
      <c r="BF54" s="94"/>
      <c r="BG54" s="94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</row>
    <row r="55" spans="1:86" ht="16.5" customHeight="1">
      <c r="A55" s="92"/>
      <c r="B55" s="92"/>
      <c r="C55" s="92"/>
      <c r="D55" s="92"/>
      <c r="E55" s="94"/>
      <c r="F55" s="3"/>
      <c r="G55" s="110"/>
      <c r="H55" s="112"/>
      <c r="I55" s="74"/>
      <c r="J55" s="61"/>
      <c r="K55" s="61"/>
      <c r="L55" s="183" t="s">
        <v>220</v>
      </c>
      <c r="M55" s="183"/>
      <c r="N55" s="183"/>
      <c r="O55" s="183"/>
      <c r="P55" s="183"/>
      <c r="Q55" s="768">
        <f>IF(C5=1,VLOOKUP(C15,Data!D106:P134,13),IF(C5=2,VLOOKUP(C17,Data!D13:P85,13),IF(C5=3,VLOOKUP(C19,Data!Q13:AC90,13),VLOOKUP(C21,Data!Q106:AC190,13))))</f>
        <v>1.3520833333333331</v>
      </c>
      <c r="R55" s="768"/>
      <c r="S55" s="169" t="s">
        <v>13</v>
      </c>
      <c r="T55" s="168"/>
      <c r="U55" s="168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83" t="s">
        <v>222</v>
      </c>
      <c r="AS55" s="183"/>
      <c r="AT55" s="183"/>
      <c r="AU55" s="183"/>
      <c r="AV55" s="183"/>
      <c r="AW55" s="768">
        <f>IF(C5=1,VLOOKUP(C29,Data!D106:P134,13),IF(C5=2,VLOOKUP(C31,Data!D13:P85,13),IF(C5=3,VLOOKUP(C33,Data!Q13:AC90,13),VLOOKUP(C35,Data!Q106:AC190,13))))</f>
        <v>1.635</v>
      </c>
      <c r="AX55" s="768"/>
      <c r="AY55" s="169" t="s">
        <v>13</v>
      </c>
      <c r="AZ55" s="168"/>
      <c r="BA55" s="62"/>
      <c r="BB55" s="230"/>
      <c r="BC55" s="231"/>
      <c r="BD55" s="3"/>
      <c r="BE55" s="3"/>
      <c r="BF55" s="94"/>
      <c r="BG55" s="94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</row>
    <row r="56" spans="1:86" ht="16.5" customHeight="1">
      <c r="A56" s="92"/>
      <c r="B56" s="92"/>
      <c r="C56" s="92"/>
      <c r="D56" s="92"/>
      <c r="E56" s="94"/>
      <c r="F56" s="3"/>
      <c r="G56" s="110"/>
      <c r="H56" s="112"/>
      <c r="I56" s="74"/>
      <c r="J56" s="61"/>
      <c r="K56" s="61"/>
      <c r="L56" s="184" t="s">
        <v>221</v>
      </c>
      <c r="M56" s="184"/>
      <c r="N56" s="184"/>
      <c r="O56" s="184"/>
      <c r="P56" s="184"/>
      <c r="Q56" s="769">
        <f>IF(C5=1,VLOOKUP(C15,Data!D106:P134,3),IF(C5=2,VLOOKUP(C17,Data!D13:P85,3),IF(C5=3,VLOOKUP(C19,Data!Q13:AC90,3),VLOOKUP(C21,Data!Q106:AC190,3))))/12-1</f>
        <v>6.4083333333333341</v>
      </c>
      <c r="R56" s="769"/>
      <c r="S56" s="62" t="s">
        <v>13</v>
      </c>
      <c r="T56" s="168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68"/>
      <c r="AH56" s="168"/>
      <c r="AI56" s="168"/>
      <c r="AJ56" s="168"/>
      <c r="AK56" s="168"/>
      <c r="AL56" s="168"/>
      <c r="AM56" s="168"/>
      <c r="AN56" s="62"/>
      <c r="AO56" s="62"/>
      <c r="AP56" s="62"/>
      <c r="AQ56" s="62"/>
      <c r="AR56" s="184" t="s">
        <v>223</v>
      </c>
      <c r="AS56" s="184"/>
      <c r="AT56" s="184"/>
      <c r="AU56" s="184"/>
      <c r="AV56" s="184"/>
      <c r="AW56" s="769">
        <f>IF(C5=1,VLOOKUP(C29,Data!D106:P134,3),IF(C5=2,VLOOKUP(C31,Data!D13:P85,3),IF(C5=3,VLOOKUP(C33,Data!Q13:AC90,3),VLOOKUP(C35,Data!Q106:AC190,3))))/12-1</f>
        <v>7.5400000000000009</v>
      </c>
      <c r="AX56" s="769"/>
      <c r="AY56" s="62" t="s">
        <v>13</v>
      </c>
      <c r="AZ56" s="168"/>
      <c r="BA56" s="62"/>
      <c r="BB56" s="230"/>
      <c r="BC56" s="231"/>
      <c r="BD56" s="3"/>
      <c r="BE56" s="3"/>
      <c r="BF56" s="94"/>
      <c r="BG56" s="94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</row>
    <row r="57" spans="1:86" ht="16.5" customHeight="1">
      <c r="A57" s="92"/>
      <c r="B57" s="92"/>
      <c r="C57" s="92"/>
      <c r="D57" s="92"/>
      <c r="E57" s="94"/>
      <c r="F57" s="3"/>
      <c r="G57" s="110"/>
      <c r="H57" s="112"/>
      <c r="I57" s="74"/>
      <c r="J57" s="61"/>
      <c r="K57" s="61"/>
      <c r="L57" s="61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168"/>
      <c r="AS57" s="168"/>
      <c r="AT57" s="168"/>
      <c r="AU57" s="168"/>
      <c r="AV57" s="168"/>
      <c r="AW57" s="168"/>
      <c r="AX57" s="168"/>
      <c r="AY57" s="168"/>
      <c r="AZ57" s="168"/>
      <c r="BA57" s="62"/>
      <c r="BB57" s="230"/>
      <c r="BC57" s="231"/>
      <c r="BD57" s="3"/>
      <c r="BE57" s="3"/>
      <c r="BF57" s="94"/>
      <c r="BG57" s="94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</row>
    <row r="58" spans="1:86" ht="16.5" customHeight="1">
      <c r="A58" s="92"/>
      <c r="B58" s="92"/>
      <c r="C58" s="92"/>
      <c r="D58" s="92"/>
      <c r="E58" s="94"/>
      <c r="F58" s="3"/>
      <c r="G58" s="110"/>
      <c r="H58" s="112"/>
      <c r="I58" s="74"/>
      <c r="J58" s="61"/>
      <c r="K58" s="61"/>
      <c r="L58" s="61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76">
        <f>C41</f>
        <v>46</v>
      </c>
      <c r="AB58" s="676"/>
      <c r="AC58" s="677" t="s">
        <v>45</v>
      </c>
      <c r="AD58" s="677"/>
      <c r="AE58" s="677"/>
      <c r="AF58" s="677"/>
      <c r="AG58" s="677"/>
      <c r="AH58" s="677"/>
      <c r="AI58" s="677"/>
      <c r="AJ58" s="677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230"/>
      <c r="BC58" s="231"/>
      <c r="BD58" s="3"/>
      <c r="BE58" s="3"/>
      <c r="BF58" s="94"/>
      <c r="BG58" s="94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</row>
    <row r="59" spans="1:86" ht="16.5" customHeight="1">
      <c r="A59" s="92"/>
      <c r="B59" s="92"/>
      <c r="C59" s="92"/>
      <c r="D59" s="92"/>
      <c r="E59" s="94"/>
      <c r="F59" s="3"/>
      <c r="G59" s="110"/>
      <c r="H59" s="112"/>
      <c r="I59" s="74"/>
      <c r="J59" s="61"/>
      <c r="K59" s="61"/>
      <c r="L59" s="61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76"/>
      <c r="AB59" s="676"/>
      <c r="AC59" s="677"/>
      <c r="AD59" s="677"/>
      <c r="AE59" s="677"/>
      <c r="AF59" s="677"/>
      <c r="AG59" s="677"/>
      <c r="AH59" s="677"/>
      <c r="AI59" s="677"/>
      <c r="AJ59" s="677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230"/>
      <c r="BC59" s="231"/>
      <c r="BD59" s="3"/>
      <c r="BE59" s="3"/>
      <c r="BF59" s="94"/>
      <c r="BG59" s="94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</row>
    <row r="60" spans="1:86" ht="16.5" customHeight="1">
      <c r="A60" s="92"/>
      <c r="B60" s="92"/>
      <c r="C60" s="92"/>
      <c r="D60" s="92"/>
      <c r="E60" s="94"/>
      <c r="F60" s="3"/>
      <c r="G60" s="110"/>
      <c r="H60" s="111"/>
      <c r="I60" s="76"/>
      <c r="J60" s="78"/>
      <c r="K60" s="77"/>
      <c r="L60" s="77"/>
      <c r="M60" s="78"/>
      <c r="N60" s="78"/>
      <c r="O60" s="78"/>
      <c r="P60" s="79"/>
      <c r="Q60" s="78"/>
      <c r="R60" s="78"/>
      <c r="S60" s="80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234"/>
      <c r="BC60" s="235"/>
      <c r="BD60" s="3"/>
      <c r="BE60" s="3"/>
      <c r="BF60" s="94"/>
      <c r="BG60" s="94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</row>
    <row r="61" spans="1:86" ht="16.5" customHeight="1">
      <c r="A61" s="92"/>
      <c r="B61" s="92"/>
      <c r="C61" s="92"/>
      <c r="D61" s="92"/>
      <c r="E61" s="94"/>
      <c r="F61" s="3"/>
      <c r="G61" s="3"/>
      <c r="H61" s="3"/>
      <c r="I61" s="765" t="s">
        <v>218</v>
      </c>
      <c r="J61" s="767" t="s">
        <v>219</v>
      </c>
      <c r="K61" s="274"/>
      <c r="L61" s="274"/>
      <c r="M61" s="3"/>
      <c r="N61" s="3"/>
      <c r="O61" s="26"/>
      <c r="P61" s="95">
        <f>K33</f>
        <v>12</v>
      </c>
      <c r="Q61" s="26" t="s">
        <v>8</v>
      </c>
      <c r="R61" s="58" t="s">
        <v>46</v>
      </c>
      <c r="S61" s="58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765" t="s">
        <v>224</v>
      </c>
      <c r="BB61" s="765"/>
      <c r="BC61" s="765" t="s">
        <v>225</v>
      </c>
      <c r="BD61" s="3"/>
      <c r="BE61" s="3"/>
      <c r="BF61" s="94"/>
      <c r="BG61" s="94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</row>
    <row r="62" spans="1:86" ht="16.5" customHeight="1">
      <c r="A62" s="92"/>
      <c r="B62" s="92"/>
      <c r="C62" s="92"/>
      <c r="D62" s="92"/>
      <c r="E62" s="94"/>
      <c r="F62" s="3"/>
      <c r="G62" s="3"/>
      <c r="H62" s="3"/>
      <c r="I62" s="766"/>
      <c r="J62" s="721"/>
      <c r="K62" s="274"/>
      <c r="L62" s="274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776">
        <f>(C41*O14+2*O15)/12</f>
        <v>190.54999999999998</v>
      </c>
      <c r="AA62" s="776"/>
      <c r="AB62" s="776"/>
      <c r="AC62" s="238" t="s">
        <v>13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766"/>
      <c r="BB62" s="766"/>
      <c r="BC62" s="766"/>
      <c r="BD62" s="3"/>
      <c r="BE62" s="3"/>
      <c r="BF62" s="94"/>
      <c r="BG62" s="94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</row>
    <row r="63" spans="1:86" ht="16.5" customHeight="1">
      <c r="A63" s="92"/>
      <c r="B63" s="92"/>
      <c r="C63" s="92"/>
      <c r="D63" s="92"/>
      <c r="E63" s="94"/>
      <c r="F63" s="3"/>
      <c r="G63" s="3"/>
      <c r="H63" s="3"/>
      <c r="I63" s="775"/>
      <c r="J63" s="775"/>
      <c r="K63" s="253"/>
      <c r="L63" s="274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94"/>
      <c r="BG63" s="94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</row>
    <row r="64" spans="1:86" ht="16.5" customHeight="1">
      <c r="A64" s="92"/>
      <c r="B64" s="92"/>
      <c r="C64" s="92"/>
      <c r="D64" s="92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</row>
    <row r="65" spans="1:86" ht="16.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</row>
    <row r="66" spans="1:86" ht="16.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</row>
    <row r="67" spans="1:86" ht="16.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</row>
    <row r="68" spans="1:86" ht="16.5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</row>
    <row r="69" spans="1:86" ht="16.5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</row>
    <row r="70" spans="1:86" ht="16.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</row>
    <row r="71" spans="1:86" ht="16.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</row>
    <row r="72" spans="1:86" ht="16.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</row>
    <row r="73" spans="1:86" ht="16.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</row>
    <row r="74" spans="1:86" ht="16.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</row>
    <row r="75" spans="1:86" ht="16.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</row>
    <row r="76" spans="1:86" ht="16.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</row>
    <row r="77" spans="1:86" ht="16.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</row>
    <row r="78" spans="1:86" ht="16.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</row>
    <row r="79" spans="1:86" ht="16.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</row>
    <row r="80" spans="1:86" ht="16.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</row>
    <row r="81" spans="1:86" ht="16.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</row>
    <row r="82" spans="1:86" ht="16.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</row>
    <row r="83" spans="1:86" ht="16.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</row>
    <row r="84" spans="1:86" ht="16.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</row>
    <row r="85" spans="1:86" ht="16.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</row>
    <row r="86" spans="1:86" ht="16.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</row>
    <row r="87" spans="1:86" ht="16.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</row>
    <row r="88" spans="1:86" ht="16.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</row>
    <row r="89" spans="1:86" ht="16.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</row>
    <row r="90" spans="1:86" ht="16.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</row>
    <row r="91" spans="1:86" ht="16.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</row>
    <row r="92" spans="1:86" ht="16.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</row>
    <row r="93" spans="1:86" ht="16.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</row>
    <row r="94" spans="1:86" ht="16.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</row>
    <row r="95" spans="1:86" ht="16.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</row>
    <row r="96" spans="1:86" ht="16.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</row>
    <row r="97" spans="1:86" ht="16.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</row>
    <row r="98" spans="1:86" ht="16.5" customHeight="1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</row>
    <row r="99" spans="1:86" ht="16.5" hidden="1" customHeight="1"/>
    <row r="100" spans="1:86" ht="16.5" hidden="1" customHeight="1"/>
    <row r="101" spans="1:86" ht="16.5" hidden="1" customHeight="1"/>
    <row r="102" spans="1:86" ht="16.5" hidden="1" customHeight="1"/>
    <row r="103" spans="1:86" ht="16.5" hidden="1" customHeight="1"/>
    <row r="104" spans="1:86" ht="16.5" hidden="1" customHeight="1"/>
    <row r="105" spans="1:86" ht="16.5" hidden="1" customHeight="1"/>
    <row r="106" spans="1:86" ht="16.5" hidden="1" customHeight="1"/>
    <row r="107" spans="1:86" ht="16.5" hidden="1" customHeight="1"/>
    <row r="108" spans="1:86" ht="16.5" hidden="1" customHeight="1"/>
    <row r="109" spans="1:86" ht="16.5" hidden="1" customHeight="1"/>
    <row r="110" spans="1:86" ht="16.5" hidden="1" customHeight="1"/>
    <row r="111" spans="1:86" ht="16.5" hidden="1" customHeight="1"/>
    <row r="112" spans="1:86" ht="16.5" hidden="1" customHeight="1"/>
    <row r="113" ht="16.5" hidden="1" customHeight="1"/>
    <row r="114" ht="16.5" hidden="1" customHeight="1"/>
    <row r="115" ht="16.5" hidden="1" customHeight="1"/>
    <row r="116" ht="16.5" hidden="1" customHeight="1"/>
    <row r="117" ht="16.5" hidden="1" customHeight="1"/>
    <row r="118" ht="16.5" hidden="1" customHeight="1"/>
    <row r="119" ht="16.5" hidden="1" customHeight="1"/>
    <row r="120" ht="16.5" hidden="1" customHeight="1"/>
    <row r="121" ht="16.5" hidden="1" customHeight="1"/>
    <row r="122" ht="16.5" hidden="1" customHeight="1"/>
    <row r="123" ht="16.5" hidden="1" customHeight="1"/>
    <row r="124" ht="16.5" hidden="1" customHeight="1"/>
    <row r="125" ht="16.5" hidden="1" customHeight="1"/>
    <row r="126" ht="16.5" hidden="1" customHeight="1"/>
    <row r="127" ht="16.5" hidden="1" customHeight="1"/>
    <row r="128" ht="16.5" hidden="1" customHeight="1"/>
    <row r="129" ht="16.5" hidden="1" customHeight="1"/>
    <row r="130" ht="16.5" hidden="1" customHeight="1"/>
    <row r="131" ht="16.5" hidden="1" customHeight="1"/>
    <row r="132" ht="16.5" hidden="1" customHeight="1"/>
    <row r="133" ht="16.5" hidden="1" customHeight="1"/>
    <row r="134" ht="16.5" hidden="1" customHeight="1"/>
    <row r="135" ht="16.5" hidden="1" customHeight="1"/>
    <row r="136" ht="16.5" hidden="1" customHeight="1"/>
    <row r="137" ht="16.5" hidden="1" customHeight="1"/>
    <row r="138" ht="16.5" hidden="1" customHeight="1"/>
    <row r="139" ht="16.5" hidden="1" customHeight="1"/>
    <row r="140" ht="16.5" hidden="1" customHeight="1"/>
    <row r="141" ht="16.5" hidden="1" customHeight="1"/>
    <row r="142" ht="16.5" hidden="1" customHeight="1"/>
    <row r="143" ht="16.5" hidden="1" customHeight="1"/>
    <row r="144" ht="16.5" hidden="1" customHeight="1"/>
    <row r="145" ht="16.5" hidden="1" customHeight="1"/>
    <row r="146" ht="16.5" hidden="1" customHeight="1"/>
    <row r="147" ht="16.5" hidden="1" customHeight="1"/>
    <row r="148" ht="16.5" hidden="1" customHeight="1"/>
    <row r="149" ht="16.5" hidden="1" customHeight="1"/>
    <row r="150" ht="16.5" hidden="1" customHeight="1"/>
    <row r="151" ht="16.5" hidden="1" customHeight="1"/>
    <row r="152" ht="16.5" hidden="1" customHeight="1"/>
    <row r="153" ht="16.5" hidden="1" customHeight="1"/>
    <row r="154" ht="16.5" hidden="1" customHeight="1"/>
    <row r="155" ht="16.5" hidden="1" customHeight="1"/>
    <row r="156" ht="16.5" hidden="1" customHeight="1"/>
    <row r="157" ht="16.5" hidden="1" customHeight="1"/>
    <row r="158" ht="16.5" hidden="1" customHeight="1"/>
    <row r="159" ht="16.5" hidden="1" customHeight="1"/>
    <row r="160" ht="16.5" hidden="1" customHeight="1"/>
    <row r="161" ht="16.5" hidden="1" customHeight="1"/>
    <row r="162" ht="16.5" hidden="1" customHeight="1"/>
    <row r="163" ht="16.5" hidden="1" customHeight="1"/>
    <row r="164" ht="16.5" hidden="1" customHeight="1"/>
    <row r="165" ht="16.5" hidden="1" customHeight="1"/>
    <row r="166" ht="16.5" hidden="1" customHeight="1"/>
    <row r="167" ht="16.5" hidden="1" customHeight="1"/>
    <row r="168" ht="16.5" hidden="1" customHeight="1"/>
    <row r="169" ht="16.5" hidden="1" customHeight="1"/>
    <row r="170" ht="16.5" hidden="1" customHeight="1"/>
    <row r="171" ht="16.5" hidden="1" customHeight="1"/>
    <row r="172" ht="16.5" hidden="1" customHeight="1"/>
    <row r="173" ht="16.5" hidden="1" customHeight="1"/>
    <row r="174" ht="16.5" hidden="1" customHeight="1"/>
    <row r="175" ht="16.5" hidden="1" customHeight="1"/>
    <row r="176" ht="16.5" hidden="1" customHeight="1"/>
    <row r="177" ht="16.5" hidden="1" customHeight="1"/>
    <row r="178" ht="16.5" hidden="1" customHeight="1"/>
    <row r="179" ht="16.5" hidden="1" customHeight="1"/>
    <row r="180" ht="16.5" hidden="1" customHeight="1"/>
    <row r="181" ht="16.5" hidden="1" customHeight="1"/>
    <row r="182" ht="16.5" hidden="1" customHeight="1"/>
    <row r="183" ht="16.5" hidden="1" customHeight="1"/>
    <row r="184" ht="16.5" hidden="1" customHeight="1"/>
    <row r="185" ht="16.5" hidden="1" customHeight="1"/>
    <row r="186" ht="16.5" hidden="1" customHeight="1"/>
    <row r="187" ht="16.5" hidden="1" customHeight="1"/>
    <row r="188" ht="16.5" hidden="1" customHeight="1"/>
    <row r="189" ht="16.5" hidden="1" customHeight="1"/>
    <row r="190" ht="16.5" hidden="1" customHeight="1"/>
    <row r="191" ht="16.5" hidden="1" customHeight="1"/>
    <row r="192" ht="16.5" hidden="1" customHeight="1"/>
    <row r="193" ht="16.5" hidden="1" customHeight="1"/>
    <row r="194" ht="16.5" hidden="1" customHeight="1"/>
    <row r="195" ht="16.5" hidden="1" customHeight="1"/>
    <row r="196" ht="16.5" hidden="1" customHeight="1"/>
    <row r="197" ht="16.5" hidden="1" customHeight="1"/>
    <row r="198" ht="16.5" hidden="1" customHeight="1"/>
    <row r="199" ht="16.5" hidden="1" customHeight="1"/>
    <row r="200" ht="16.5" hidden="1" customHeight="1"/>
    <row r="201" ht="16.5" hidden="1" customHeight="1"/>
    <row r="202" ht="16.5" hidden="1" customHeight="1"/>
    <row r="203" ht="16.5" hidden="1" customHeight="1"/>
    <row r="204" ht="16.5" hidden="1" customHeight="1"/>
    <row r="205" ht="16.5" hidden="1" customHeight="1"/>
    <row r="206" ht="16.5" hidden="1" customHeight="1"/>
    <row r="207" ht="16.5" hidden="1" customHeight="1"/>
    <row r="208" ht="16.5" hidden="1" customHeight="1"/>
    <row r="209" ht="16.5" hidden="1" customHeight="1"/>
    <row r="210" ht="16.5" hidden="1" customHeight="1"/>
    <row r="211" ht="16.5" hidden="1" customHeight="1"/>
    <row r="212" ht="16.5" hidden="1" customHeight="1"/>
    <row r="213" ht="16.5" hidden="1" customHeight="1"/>
    <row r="214" ht="16.5" hidden="1" customHeight="1"/>
    <row r="215" ht="16.5" hidden="1" customHeight="1"/>
    <row r="216" ht="16.5" hidden="1" customHeight="1"/>
    <row r="217" ht="16.5" hidden="1" customHeight="1"/>
    <row r="218" ht="16.5" hidden="1" customHeight="1"/>
    <row r="219" ht="16.5" hidden="1" customHeight="1"/>
    <row r="220" ht="16.5" hidden="1" customHeight="1"/>
    <row r="221" ht="16.5" hidden="1" customHeight="1"/>
    <row r="222" ht="16.5" hidden="1" customHeight="1"/>
    <row r="223" ht="16.5" hidden="1" customHeight="1"/>
    <row r="224" ht="16.5" hidden="1" customHeight="1"/>
    <row r="225" ht="16.5" hidden="1" customHeight="1"/>
    <row r="226" ht="16.5" hidden="1" customHeight="1"/>
    <row r="227" ht="16.5" hidden="1" customHeight="1"/>
    <row r="228" ht="16.5" hidden="1" customHeight="1"/>
    <row r="229" ht="16.5" hidden="1" customHeight="1"/>
    <row r="230" ht="16.5" hidden="1" customHeight="1"/>
    <row r="231" ht="16.5" hidden="1" customHeight="1"/>
    <row r="232" ht="16.5" hidden="1" customHeight="1"/>
    <row r="233" ht="16.5" hidden="1" customHeight="1"/>
    <row r="234" ht="16.5" hidden="1" customHeight="1"/>
    <row r="235" ht="16.5" hidden="1" customHeight="1"/>
    <row r="236" ht="16.5" hidden="1" customHeight="1"/>
    <row r="237" ht="16.5" hidden="1" customHeight="1"/>
    <row r="238" ht="16.5" hidden="1" customHeight="1"/>
    <row r="239" ht="16.5" hidden="1" customHeight="1"/>
    <row r="240" ht="16.5" hidden="1" customHeight="1"/>
    <row r="241" ht="16.5" hidden="1" customHeight="1"/>
    <row r="242" ht="16.5" hidden="1" customHeight="1"/>
    <row r="243" ht="16.5" hidden="1" customHeight="1"/>
    <row r="244" ht="16.5" hidden="1" customHeight="1"/>
    <row r="245" ht="16.5" hidden="1" customHeight="1"/>
    <row r="246" ht="16.5" hidden="1" customHeight="1"/>
    <row r="247" ht="16.5" hidden="1" customHeight="1"/>
    <row r="248" ht="16.5" hidden="1" customHeight="1"/>
    <row r="249" ht="16.5" hidden="1" customHeight="1"/>
    <row r="250" ht="16.5" hidden="1" customHeight="1"/>
    <row r="251" ht="16.5" hidden="1" customHeight="1"/>
    <row r="252" ht="16.5" hidden="1" customHeight="1"/>
    <row r="253" ht="16.5" hidden="1" customHeight="1"/>
    <row r="254" ht="16.5" hidden="1" customHeight="1"/>
    <row r="255" ht="16.5" hidden="1" customHeight="1"/>
    <row r="256" ht="16.5" hidden="1" customHeight="1"/>
    <row r="257" ht="16.5" hidden="1" customHeight="1"/>
    <row r="258" ht="16.5" hidden="1" customHeight="1"/>
    <row r="259" ht="16.5" hidden="1" customHeight="1"/>
    <row r="260" ht="16.5" hidden="1" customHeight="1"/>
    <row r="261" ht="16.5" hidden="1" customHeight="1"/>
    <row r="262" ht="16.5" hidden="1" customHeight="1"/>
    <row r="263" ht="16.5" hidden="1" customHeight="1"/>
    <row r="264" ht="16.5" hidden="1" customHeight="1"/>
    <row r="265" ht="16.5" hidden="1" customHeight="1"/>
    <row r="266" ht="16.5" hidden="1" customHeight="1"/>
    <row r="267" ht="16.5" hidden="1" customHeight="1"/>
    <row r="268" ht="16.5" hidden="1" customHeight="1"/>
    <row r="269" ht="16.5" hidden="1" customHeight="1"/>
    <row r="270" ht="16.5" hidden="1" customHeight="1"/>
    <row r="271" ht="16.5" hidden="1" customHeight="1"/>
    <row r="272" ht="16.5" hidden="1" customHeight="1"/>
    <row r="273" ht="16.5" hidden="1" customHeight="1"/>
    <row r="274" ht="16.5" hidden="1" customHeight="1"/>
    <row r="275" ht="16.5" hidden="1" customHeight="1"/>
    <row r="276" ht="16.5" hidden="1" customHeight="1"/>
    <row r="277" ht="16.5" hidden="1" customHeight="1"/>
    <row r="278" ht="16.5" hidden="1" customHeight="1"/>
    <row r="279" ht="16.5" hidden="1" customHeight="1"/>
    <row r="280" ht="16.5" hidden="1" customHeight="1"/>
    <row r="281" ht="16.5" hidden="1" customHeight="1"/>
  </sheetData>
  <sheetProtection algorithmName="SHA-512" hashValue="EglaKQSwLHRdbkMxdf8bgnc5b5A7IRLoPSbXXqH4lBSmCjgH8a0rj+WZtY4tqScXS+XvXqi2U21QA4zYRj8s7w==" saltValue="x+++crY6U6jkbB+FLhfUNw==" spinCount="100000" sheet="1" objects="1" scenarios="1" selectLockedCells="1"/>
  <mergeCells count="150">
    <mergeCell ref="A12:B13"/>
    <mergeCell ref="A17:B17"/>
    <mergeCell ref="A19:B19"/>
    <mergeCell ref="A26:B27"/>
    <mergeCell ref="A31:B31"/>
    <mergeCell ref="A40:B40"/>
    <mergeCell ref="A33:B33"/>
    <mergeCell ref="I24:J24"/>
    <mergeCell ref="H16:N16"/>
    <mergeCell ref="A35:B35"/>
    <mergeCell ref="AV49:AX49"/>
    <mergeCell ref="AA43:AB44"/>
    <mergeCell ref="AC43:AH44"/>
    <mergeCell ref="R46:S46"/>
    <mergeCell ref="A41:B41"/>
    <mergeCell ref="A15:B15"/>
    <mergeCell ref="H19:L19"/>
    <mergeCell ref="N19:P19"/>
    <mergeCell ref="A47:D48"/>
    <mergeCell ref="O16:P16"/>
    <mergeCell ref="A42:B42"/>
    <mergeCell ref="C42:D42"/>
    <mergeCell ref="AH31:AI31"/>
    <mergeCell ref="AQ31:BC31"/>
    <mergeCell ref="AJ27:AK27"/>
    <mergeCell ref="AQ27:BC27"/>
    <mergeCell ref="AG28:AI29"/>
    <mergeCell ref="AY49:AZ49"/>
    <mergeCell ref="AQ35:BC35"/>
    <mergeCell ref="H37:AF38"/>
    <mergeCell ref="AG40:AI40"/>
    <mergeCell ref="AY46:AZ46"/>
    <mergeCell ref="AR48:AT48"/>
    <mergeCell ref="AU48:AX48"/>
    <mergeCell ref="BC61:BC62"/>
    <mergeCell ref="BA61:BB62"/>
    <mergeCell ref="AY51:AZ51"/>
    <mergeCell ref="AV52:AW52"/>
    <mergeCell ref="AY52:AZ52"/>
    <mergeCell ref="AV53:AW53"/>
    <mergeCell ref="AY53:AZ53"/>
    <mergeCell ref="AV54:AW54"/>
    <mergeCell ref="AY54:AZ54"/>
    <mergeCell ref="AW56:AX56"/>
    <mergeCell ref="AW55:AX55"/>
    <mergeCell ref="I63:J63"/>
    <mergeCell ref="AF48:AI48"/>
    <mergeCell ref="AF47:AL47"/>
    <mergeCell ref="Q55:R55"/>
    <mergeCell ref="Q56:R56"/>
    <mergeCell ref="J46:L46"/>
    <mergeCell ref="AA58:AB59"/>
    <mergeCell ref="AC58:AJ59"/>
    <mergeCell ref="I61:I62"/>
    <mergeCell ref="J61:J62"/>
    <mergeCell ref="Z62:AB62"/>
    <mergeCell ref="P52:Q52"/>
    <mergeCell ref="S52:T52"/>
    <mergeCell ref="L48:N48"/>
    <mergeCell ref="O48:R48"/>
    <mergeCell ref="AJ48:AL48"/>
    <mergeCell ref="P49:R49"/>
    <mergeCell ref="S49:T49"/>
    <mergeCell ref="BD52:BF52"/>
    <mergeCell ref="P53:Q53"/>
    <mergeCell ref="S53:T53"/>
    <mergeCell ref="P54:Q54"/>
    <mergeCell ref="S54:T54"/>
    <mergeCell ref="E54:G54"/>
    <mergeCell ref="P50:Q50"/>
    <mergeCell ref="S50:T50"/>
    <mergeCell ref="BD50:BE50"/>
    <mergeCell ref="P51:Q51"/>
    <mergeCell ref="S51:T51"/>
    <mergeCell ref="AE51:AF51"/>
    <mergeCell ref="AV51:AW51"/>
    <mergeCell ref="AV50:AW50"/>
    <mergeCell ref="AY50:AZ50"/>
    <mergeCell ref="AQ32:BC32"/>
    <mergeCell ref="K33:L33"/>
    <mergeCell ref="S33:T33"/>
    <mergeCell ref="AB33:AC33"/>
    <mergeCell ref="AQ33:BC33"/>
    <mergeCell ref="T34:V34"/>
    <mergeCell ref="W34:AA34"/>
    <mergeCell ref="AQ34:BC34"/>
    <mergeCell ref="AJ28:AL29"/>
    <mergeCell ref="AQ28:BC28"/>
    <mergeCell ref="AQ29:BC29"/>
    <mergeCell ref="AQ30:BC30"/>
    <mergeCell ref="AQ24:BC24"/>
    <mergeCell ref="AQ25:BC25"/>
    <mergeCell ref="AH26:AI26"/>
    <mergeCell ref="AQ26:BC26"/>
    <mergeCell ref="A29:B29"/>
    <mergeCell ref="AD20:AI20"/>
    <mergeCell ref="AJ20:AL20"/>
    <mergeCell ref="AP20:AQ20"/>
    <mergeCell ref="AR20:AY20"/>
    <mergeCell ref="I21:Y23"/>
    <mergeCell ref="AQ21:AZ22"/>
    <mergeCell ref="A21:B21"/>
    <mergeCell ref="X19:Z19"/>
    <mergeCell ref="AI19:AK19"/>
    <mergeCell ref="AP19:AQ19"/>
    <mergeCell ref="AR19:AX19"/>
    <mergeCell ref="AP17:AQ17"/>
    <mergeCell ref="AR17:AS17"/>
    <mergeCell ref="H18:N18"/>
    <mergeCell ref="O18:P18"/>
    <mergeCell ref="AI18:AK18"/>
    <mergeCell ref="AP18:AQ18"/>
    <mergeCell ref="AR18:AS18"/>
    <mergeCell ref="AI16:AK16"/>
    <mergeCell ref="H17:N17"/>
    <mergeCell ref="O17:P17"/>
    <mergeCell ref="Y17:Z17"/>
    <mergeCell ref="Y14:Z14"/>
    <mergeCell ref="AY14:BB14"/>
    <mergeCell ref="H15:N15"/>
    <mergeCell ref="O15:P15"/>
    <mergeCell ref="Y15:Z15"/>
    <mergeCell ref="AJ15:AK15"/>
    <mergeCell ref="AV12:BD12"/>
    <mergeCell ref="H13:N13"/>
    <mergeCell ref="O13:P13"/>
    <mergeCell ref="Y13:Z13"/>
    <mergeCell ref="AD13:AH13"/>
    <mergeCell ref="AI13:AK13"/>
    <mergeCell ref="H14:N14"/>
    <mergeCell ref="O14:P14"/>
    <mergeCell ref="L10:M11"/>
    <mergeCell ref="Y10:AA10"/>
    <mergeCell ref="AS10:BD10"/>
    <mergeCell ref="Z9:AA9"/>
    <mergeCell ref="AJ9:AK9"/>
    <mergeCell ref="Z6:AA6"/>
    <mergeCell ref="AJ6:AK6"/>
    <mergeCell ref="AS6:BD6"/>
    <mergeCell ref="K7:N7"/>
    <mergeCell ref="Q7:R8"/>
    <mergeCell ref="Z7:AA7"/>
    <mergeCell ref="A5:B5"/>
    <mergeCell ref="J8:K8"/>
    <mergeCell ref="L8:M8"/>
    <mergeCell ref="A8:B8"/>
    <mergeCell ref="Z8:AA8"/>
    <mergeCell ref="AS8:BD8"/>
    <mergeCell ref="A9:D9"/>
    <mergeCell ref="J9:O9"/>
  </mergeCells>
  <hyperlinks>
    <hyperlink ref="A47:D48" location="Index!A1" display="RETURN TO INDEX" xr:uid="{00000000-0004-0000-0500-000000000000}"/>
  </hyperlinks>
  <printOptions horizontalCentered="1"/>
  <pageMargins left="0.25" right="0.25" top="0.75" bottom="1" header="0.3" footer="0.3"/>
  <pageSetup scale="59" orientation="portrait" horizontalDpi="1200" verticalDpi="1200" r:id="rId1"/>
  <headerFoot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Drop Down 1">
              <controlPr defaultSize="0" autoLine="0" autoPict="0">
                <anchor moveWithCells="1">
                  <from>
                    <xdr:col>1</xdr:col>
                    <xdr:colOff>581025</xdr:colOff>
                    <xdr:row>3</xdr:row>
                    <xdr:rowOff>200025</xdr:rowOff>
                  </from>
                  <to>
                    <xdr:col>3</xdr:col>
                    <xdr:colOff>200025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Drop Down 2">
              <controlPr defaultSize="0" autoLine="0" autoPict="0">
                <anchor moveWithCells="1">
                  <from>
                    <xdr:col>1</xdr:col>
                    <xdr:colOff>581025</xdr:colOff>
                    <xdr:row>6</xdr:row>
                    <xdr:rowOff>200025</xdr:rowOff>
                  </from>
                  <to>
                    <xdr:col>3</xdr:col>
                    <xdr:colOff>200025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Drop Down 3">
              <controlPr defaultSize="0" autoLine="0" autoPict="0">
                <anchor moveWithCells="1">
                  <from>
                    <xdr:col>1</xdr:col>
                    <xdr:colOff>581025</xdr:colOff>
                    <xdr:row>15</xdr:row>
                    <xdr:rowOff>200025</xdr:rowOff>
                  </from>
                  <to>
                    <xdr:col>3</xdr:col>
                    <xdr:colOff>200025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Drop Down 4">
              <controlPr defaultSize="0" autoLine="0" autoPict="0">
                <anchor moveWithCells="1">
                  <from>
                    <xdr:col>1</xdr:col>
                    <xdr:colOff>581025</xdr:colOff>
                    <xdr:row>17</xdr:row>
                    <xdr:rowOff>200025</xdr:rowOff>
                  </from>
                  <to>
                    <xdr:col>3</xdr:col>
                    <xdr:colOff>200025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Drop Down 5">
              <controlPr defaultSize="0" autoLine="0" autoPict="0">
                <anchor moveWithCells="1">
                  <from>
                    <xdr:col>1</xdr:col>
                    <xdr:colOff>581025</xdr:colOff>
                    <xdr:row>21</xdr:row>
                    <xdr:rowOff>200025</xdr:rowOff>
                  </from>
                  <to>
                    <xdr:col>3</xdr:col>
                    <xdr:colOff>200025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Drop Down 6">
              <controlPr defaultSize="0" autoLine="0" autoPict="0">
                <anchor moveWithCells="1">
                  <from>
                    <xdr:col>1</xdr:col>
                    <xdr:colOff>581025</xdr:colOff>
                    <xdr:row>11</xdr:row>
                    <xdr:rowOff>200025</xdr:rowOff>
                  </from>
                  <to>
                    <xdr:col>3</xdr:col>
                    <xdr:colOff>200025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Drop Down 7">
              <controlPr defaultSize="0" autoLine="0" autoPict="0">
                <anchor moveWithCells="1">
                  <from>
                    <xdr:col>1</xdr:col>
                    <xdr:colOff>581025</xdr:colOff>
                    <xdr:row>25</xdr:row>
                    <xdr:rowOff>180975</xdr:rowOff>
                  </from>
                  <to>
                    <xdr:col>3</xdr:col>
                    <xdr:colOff>200025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Drop Down 8">
              <controlPr defaultSize="0" autoLine="0" autoPict="0">
                <anchor moveWithCells="1">
                  <from>
                    <xdr:col>1</xdr:col>
                    <xdr:colOff>581025</xdr:colOff>
                    <xdr:row>29</xdr:row>
                    <xdr:rowOff>190500</xdr:rowOff>
                  </from>
                  <to>
                    <xdr:col>3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Drop Down 9">
              <controlPr defaultSize="0" autoLine="0" autoPict="0">
                <anchor moveWithCells="1">
                  <from>
                    <xdr:col>1</xdr:col>
                    <xdr:colOff>581025</xdr:colOff>
                    <xdr:row>31</xdr:row>
                    <xdr:rowOff>200025</xdr:rowOff>
                  </from>
                  <to>
                    <xdr:col>3</xdr:col>
                    <xdr:colOff>200025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Drop Down 10">
              <controlPr defaultSize="0" autoLine="0" autoPict="0">
                <anchor moveWithCells="1">
                  <from>
                    <xdr:col>1</xdr:col>
                    <xdr:colOff>581025</xdr:colOff>
                    <xdr:row>35</xdr:row>
                    <xdr:rowOff>200025</xdr:rowOff>
                  </from>
                  <to>
                    <xdr:col>3</xdr:col>
                    <xdr:colOff>200025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Drop Down 11">
              <controlPr defaultSize="0" autoLine="0" autoPict="0">
                <anchor moveWithCells="1">
                  <from>
                    <xdr:col>1</xdr:col>
                    <xdr:colOff>581025</xdr:colOff>
                    <xdr:row>27</xdr:row>
                    <xdr:rowOff>190500</xdr:rowOff>
                  </from>
                  <to>
                    <xdr:col>3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Drop Down 12">
              <controlPr defaultSize="0" autoLine="0" autoPict="0">
                <anchor moveWithCells="1">
                  <from>
                    <xdr:col>1</xdr:col>
                    <xdr:colOff>581025</xdr:colOff>
                    <xdr:row>13</xdr:row>
                    <xdr:rowOff>200025</xdr:rowOff>
                  </from>
                  <to>
                    <xdr:col>3</xdr:col>
                    <xdr:colOff>200025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Line="0" autoPict="0">
                <anchor moveWithCells="1">
                  <from>
                    <xdr:col>1</xdr:col>
                    <xdr:colOff>581025</xdr:colOff>
                    <xdr:row>31</xdr:row>
                    <xdr:rowOff>190500</xdr:rowOff>
                  </from>
                  <to>
                    <xdr:col>3</xdr:col>
                    <xdr:colOff>200025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Line="0" autoPict="0">
                <anchor moveWithCells="1">
                  <from>
                    <xdr:col>1</xdr:col>
                    <xdr:colOff>581025</xdr:colOff>
                    <xdr:row>19</xdr:row>
                    <xdr:rowOff>200025</xdr:rowOff>
                  </from>
                  <to>
                    <xdr:col>3</xdr:col>
                    <xdr:colOff>200025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9" name="Drop Down 17">
              <controlPr defaultSize="0" autoLine="0" autoPict="0">
                <anchor moveWithCells="1">
                  <from>
                    <xdr:col>1</xdr:col>
                    <xdr:colOff>581025</xdr:colOff>
                    <xdr:row>33</xdr:row>
                    <xdr:rowOff>200025</xdr:rowOff>
                  </from>
                  <to>
                    <xdr:col>3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0" name="Drop Down 18">
              <controlPr defaultSize="0" autoLine="0" autoPict="0">
                <anchor moveWithCells="1">
                  <from>
                    <xdr:col>1</xdr:col>
                    <xdr:colOff>581025</xdr:colOff>
                    <xdr:row>33</xdr:row>
                    <xdr:rowOff>190500</xdr:rowOff>
                  </from>
                  <to>
                    <xdr:col>3</xdr:col>
                    <xdr:colOff>200025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07"/>
  <sheetViews>
    <sheetView tabSelected="1" workbookViewId="0">
      <selection activeCell="D2" sqref="D2:F2"/>
    </sheetView>
  </sheetViews>
  <sheetFormatPr defaultRowHeight="12.75"/>
  <cols>
    <col min="1" max="1" width="6.28515625" style="327" customWidth="1"/>
    <col min="2" max="2" width="7.7109375" style="327" customWidth="1"/>
    <col min="3" max="5" width="12.7109375" style="326" customWidth="1"/>
    <col min="6" max="6" width="4.85546875" style="380" customWidth="1"/>
    <col min="7" max="7" width="7.7109375" style="327" customWidth="1"/>
    <col min="8" max="10" width="12.7109375" style="327" customWidth="1"/>
    <col min="11" max="11" width="6" style="327" customWidth="1"/>
    <col min="12" max="16384" width="9.140625" style="327"/>
  </cols>
  <sheetData>
    <row r="1" spans="1:11">
      <c r="A1" s="401"/>
      <c r="B1" s="403"/>
      <c r="C1" s="402"/>
      <c r="D1" s="402"/>
      <c r="E1" s="402"/>
      <c r="F1" s="403"/>
      <c r="G1" s="403"/>
      <c r="H1" s="403"/>
      <c r="I1" s="403"/>
      <c r="J1" s="403"/>
      <c r="K1" s="404"/>
    </row>
    <row r="2" spans="1:11" ht="15">
      <c r="A2" s="405"/>
      <c r="B2" s="796" t="s">
        <v>687</v>
      </c>
      <c r="C2" s="797"/>
      <c r="D2" s="793"/>
      <c r="E2" s="794"/>
      <c r="F2" s="795"/>
      <c r="G2" s="381"/>
      <c r="H2" s="381"/>
      <c r="I2" s="381"/>
      <c r="J2" s="381"/>
      <c r="K2" s="407"/>
    </row>
    <row r="3" spans="1:11" ht="15">
      <c r="A3" s="405"/>
      <c r="B3" s="796" t="s">
        <v>688</v>
      </c>
      <c r="C3" s="797"/>
      <c r="D3" s="793"/>
      <c r="E3" s="794"/>
      <c r="F3" s="795"/>
      <c r="G3" s="381"/>
      <c r="H3" s="381"/>
      <c r="I3" s="381"/>
      <c r="J3" s="381"/>
      <c r="K3" s="407"/>
    </row>
    <row r="4" spans="1:11" ht="15">
      <c r="A4" s="405"/>
      <c r="B4" s="796" t="s">
        <v>1181</v>
      </c>
      <c r="C4" s="797"/>
      <c r="D4" s="793"/>
      <c r="E4" s="794"/>
      <c r="F4" s="795"/>
      <c r="G4" s="381"/>
      <c r="H4" s="381"/>
      <c r="I4" s="381"/>
      <c r="J4" s="381"/>
      <c r="K4" s="407"/>
    </row>
    <row r="5" spans="1:11" ht="15">
      <c r="A5" s="405"/>
      <c r="B5" s="796" t="s">
        <v>689</v>
      </c>
      <c r="C5" s="797"/>
      <c r="D5" s="793"/>
      <c r="E5" s="794"/>
      <c r="F5" s="795"/>
      <c r="G5" s="381"/>
      <c r="H5" s="381"/>
      <c r="I5" s="381"/>
      <c r="J5" s="381"/>
      <c r="K5" s="407"/>
    </row>
    <row r="6" spans="1:11">
      <c r="A6" s="405"/>
      <c r="B6" s="403"/>
      <c r="C6" s="402"/>
      <c r="D6" s="630"/>
      <c r="E6" s="630"/>
      <c r="F6" s="630"/>
      <c r="G6" s="381"/>
      <c r="H6" s="381"/>
      <c r="I6" s="381"/>
      <c r="J6" s="381"/>
      <c r="K6" s="407"/>
    </row>
    <row r="7" spans="1:11">
      <c r="A7" s="405"/>
      <c r="B7" s="381"/>
      <c r="C7" s="406"/>
      <c r="D7" s="406"/>
      <c r="E7" s="406"/>
      <c r="F7" s="381"/>
      <c r="G7" s="381"/>
      <c r="H7" s="381"/>
      <c r="I7" s="381"/>
      <c r="J7" s="381"/>
      <c r="K7" s="407"/>
    </row>
    <row r="8" spans="1:11" ht="15" customHeight="1">
      <c r="A8" s="405"/>
      <c r="B8" s="408" t="s">
        <v>670</v>
      </c>
      <c r="C8" s="406"/>
      <c r="D8" s="406"/>
      <c r="E8" s="406"/>
      <c r="F8" s="381"/>
      <c r="G8" s="408" t="s">
        <v>680</v>
      </c>
      <c r="H8" s="381"/>
      <c r="I8" s="381"/>
      <c r="J8" s="381"/>
      <c r="K8" s="407"/>
    </row>
    <row r="9" spans="1:11" ht="15" customHeight="1">
      <c r="A9" s="405"/>
      <c r="B9" s="409" t="s">
        <v>22</v>
      </c>
      <c r="C9" s="406"/>
      <c r="D9" s="410">
        <v>4</v>
      </c>
      <c r="E9" s="406"/>
      <c r="F9" s="381"/>
      <c r="G9" s="411" t="s">
        <v>33</v>
      </c>
      <c r="H9" s="381"/>
      <c r="I9" s="436">
        <v>20</v>
      </c>
      <c r="J9" s="381"/>
      <c r="K9" s="407"/>
    </row>
    <row r="10" spans="1:11" ht="15" customHeight="1">
      <c r="A10" s="405"/>
      <c r="B10" s="792" t="s">
        <v>1180</v>
      </c>
      <c r="C10" s="792"/>
      <c r="D10" s="629" t="str">
        <f>IF(D9=1,"6 inches",IF(D9=2,"6 inches","9 inches"))</f>
        <v>9 inches</v>
      </c>
      <c r="E10" s="406"/>
      <c r="F10" s="381"/>
      <c r="G10" s="381"/>
      <c r="H10" s="381"/>
      <c r="I10" s="381"/>
      <c r="J10" s="381"/>
      <c r="K10" s="407"/>
    </row>
    <row r="11" spans="1:11" ht="15" customHeight="1">
      <c r="A11" s="405"/>
      <c r="B11" s="408" t="s">
        <v>671</v>
      </c>
      <c r="C11" s="406"/>
      <c r="D11" s="406"/>
      <c r="E11" s="406"/>
      <c r="F11" s="381"/>
      <c r="G11" s="408" t="s">
        <v>682</v>
      </c>
      <c r="H11" s="381"/>
      <c r="I11" s="381"/>
      <c r="J11" s="381"/>
      <c r="K11" s="407"/>
    </row>
    <row r="12" spans="1:11" ht="15" customHeight="1">
      <c r="A12" s="405"/>
      <c r="B12" s="411" t="s">
        <v>29</v>
      </c>
      <c r="C12" s="406"/>
      <c r="D12" s="436">
        <v>150</v>
      </c>
      <c r="E12" s="406"/>
      <c r="F12" s="381"/>
      <c r="G12" s="381"/>
      <c r="H12" s="381"/>
      <c r="I12" s="437">
        <v>6269</v>
      </c>
      <c r="J12" s="381"/>
      <c r="K12" s="407"/>
    </row>
    <row r="13" spans="1:11" ht="15" customHeight="1" thickBot="1">
      <c r="A13" s="405"/>
      <c r="B13" s="381"/>
      <c r="C13" s="406"/>
      <c r="D13" s="406"/>
      <c r="E13" s="406"/>
      <c r="F13" s="381"/>
      <c r="G13" s="381"/>
      <c r="H13" s="381"/>
      <c r="I13" s="381"/>
      <c r="J13" s="381"/>
      <c r="K13" s="407"/>
    </row>
    <row r="14" spans="1:11" ht="15" customHeight="1">
      <c r="A14" s="405"/>
      <c r="B14" s="785" t="s">
        <v>679</v>
      </c>
      <c r="C14" s="786"/>
      <c r="D14" s="786"/>
      <c r="E14" s="787"/>
      <c r="F14" s="791"/>
      <c r="G14" s="785" t="s">
        <v>679</v>
      </c>
      <c r="H14" s="786"/>
      <c r="I14" s="786"/>
      <c r="J14" s="787"/>
      <c r="K14" s="407"/>
    </row>
    <row r="15" spans="1:11" ht="15" customHeight="1">
      <c r="A15" s="405"/>
      <c r="B15" s="788"/>
      <c r="C15" s="789"/>
      <c r="D15" s="789"/>
      <c r="E15" s="790"/>
      <c r="F15" s="791"/>
      <c r="G15" s="788"/>
      <c r="H15" s="789"/>
      <c r="I15" s="789"/>
      <c r="J15" s="790"/>
      <c r="K15" s="407"/>
    </row>
    <row r="16" spans="1:11" ht="15" customHeight="1">
      <c r="A16" s="405"/>
      <c r="B16" s="372" t="s">
        <v>669</v>
      </c>
      <c r="C16" s="378" t="s">
        <v>678</v>
      </c>
      <c r="D16" s="378" t="s">
        <v>678</v>
      </c>
      <c r="E16" s="382" t="s">
        <v>681</v>
      </c>
      <c r="F16" s="412"/>
      <c r="G16" s="372" t="s">
        <v>669</v>
      </c>
      <c r="H16" s="378" t="s">
        <v>678</v>
      </c>
      <c r="I16" s="378" t="s">
        <v>678</v>
      </c>
      <c r="J16" s="382" t="s">
        <v>681</v>
      </c>
      <c r="K16" s="407"/>
    </row>
    <row r="17" spans="1:11" ht="15" customHeight="1">
      <c r="A17" s="405"/>
      <c r="B17" s="373" t="s">
        <v>60</v>
      </c>
      <c r="C17" s="379" t="s">
        <v>673</v>
      </c>
      <c r="D17" s="379" t="s">
        <v>677</v>
      </c>
      <c r="E17" s="383" t="s">
        <v>675</v>
      </c>
      <c r="F17" s="412"/>
      <c r="G17" s="373" t="s">
        <v>60</v>
      </c>
      <c r="H17" s="379" t="s">
        <v>673</v>
      </c>
      <c r="I17" s="379" t="s">
        <v>677</v>
      </c>
      <c r="J17" s="383" t="s">
        <v>675</v>
      </c>
      <c r="K17" s="407"/>
    </row>
    <row r="18" spans="1:11" ht="15" customHeight="1">
      <c r="A18" s="405"/>
      <c r="B18" s="374">
        <f>IF($D$9=1,IF(Data!AI4&lt;=28,Data!AI4,""),IF($D$9=2,IF(Data!AI4&lt;=42,Data!AI4,""),IF($D$9=3,IF(Data!AI4&lt;=66,Data!AI4,""),Data!AI4)))</f>
        <v>0</v>
      </c>
      <c r="C18" s="371">
        <f>IF(B18="","",IF($D$9=1,VLOOKUP(B18,Data!$AI$4:$AQ$85,2),IF($D$9=2,VLOOKUP(B18,Data!$AI$4:$AQ$85,4),IF($D$9=3,VLOOKUP(B18,Data!$AI$4:$AQ$85,6),VLOOKUP(B18,Data!$AI$4:$AQ$85,8)))))</f>
        <v>0</v>
      </c>
      <c r="D18" s="371">
        <f>IF(B18="","",IF($D$9=1,VLOOKUP(B18,Data!$AI$4:$AQ$85,3),IF($D$9=2,VLOOKUP(B18,Data!$AI$4:$AQ$85,5),IF($D$9=3,VLOOKUP(B18,Data!$AI$4:$AQ$85,7),VLOOKUP(B18,Data!$AI$4:$AQ$85,9)))))</f>
        <v>0</v>
      </c>
      <c r="E18" s="413">
        <f>IF(B18="","",0.4*(B18/12*$I$12-($D$12*C18+$I$9*D18))+$D$12*C18+$I$9*D18)</f>
        <v>0</v>
      </c>
      <c r="F18" s="414"/>
      <c r="G18" s="374">
        <f>IF($D$9=1,IF(Data!AI45&lt;=28,Data!AI45,""),IF($D$9=2,IF(Data!AI45&lt;=42,Data!AI45,""),IF($D$9=3,IF(Data!AI45&lt;=66,Data!AI45,""),Data!AI45)))</f>
        <v>41</v>
      </c>
      <c r="H18" s="371">
        <f>IF(G18="","",IF($D$9=1,VLOOKUP(G18,Data!$AI$4:$AQ$85,2),IF($D$9=2,VLOOKUP(G18,Data!$AI$4:$AQ$85,4),IF($D$9=3,VLOOKUP(G18,Data!$AI$4:$AQ$85,6),VLOOKUP(G18,Data!$AI$4:$AQ$85,8)))))</f>
        <v>73.709999999999994</v>
      </c>
      <c r="I18" s="371">
        <f>IF(G18="","",IF($D$9=1,VLOOKUP(G18,Data!$AI$4:$AQ$85,3),IF($D$9=2,VLOOKUP(G18,Data!$AI$4:$AQ$85,5),IF($D$9=3,VLOOKUP(G18,Data!$AI$4:$AQ$85,7),VLOOKUP(G18,Data!$AI$4:$AQ$85,9)))))</f>
        <v>29.350000000000005</v>
      </c>
      <c r="J18" s="413">
        <f t="shared" ref="J18:J41" si="0">IF(G18="","",0.4*(G18/12*$I$12-($D$12*H18+$I$9*I18))+$D$12*H18+$I$9*I18)</f>
        <v>15553.733333333332</v>
      </c>
      <c r="K18" s="407"/>
    </row>
    <row r="19" spans="1:11" ht="15" customHeight="1">
      <c r="A19" s="405"/>
      <c r="B19" s="374">
        <f>IF($D$9=1,IF(Data!AI5&lt;=28,Data!AI5,""),IF($D$9=2,IF(Data!AI5&lt;=42,Data!AI5,""),IF($D$9=3,IF(Data!AI5&lt;=66,Data!AI5,""),Data!AI5)))</f>
        <v>1</v>
      </c>
      <c r="C19" s="371">
        <f>IF(B19="","",IF($D$9=1,VLOOKUP(B19,Data!$AI$4:$AQ$85,2),IF($D$9=2,VLOOKUP(B19,Data!$AI$4:$AQ$85,4),IF($D$9=3,VLOOKUP(B19,Data!$AI$4:$AQ$85,6),VLOOKUP(B19,Data!$AI$4:$AQ$85,8)))))</f>
        <v>0</v>
      </c>
      <c r="D19" s="371">
        <f>IF(B19="","",IF($D$9=1,VLOOKUP(B19,Data!$AI$4:$AQ$85,3),IF($D$9=2,VLOOKUP(B19,Data!$AI$4:$AQ$85,5),IF($D$9=3,VLOOKUP(B19,Data!$AI$4:$AQ$85,7),VLOOKUP(B19,Data!$AI$4:$AQ$85,9)))))</f>
        <v>0</v>
      </c>
      <c r="E19" s="413">
        <f t="shared" ref="E19:E58" si="1">IF(B19="","",0.4*(B19/12*$I$12-($D$12*C19+$I$9*D19))+$D$12*C19+$I$9*D19)</f>
        <v>208.96666666666667</v>
      </c>
      <c r="F19" s="414"/>
      <c r="G19" s="374">
        <f>IF($D$9=1,IF(Data!AI46&lt;=28,Data!AI46,""),IF($D$9=2,IF(Data!AI46&lt;=42,Data!AI46,""),IF($D$9=3,IF(Data!AI46&lt;=66,Data!AI46,""),Data!AI46)))</f>
        <v>42</v>
      </c>
      <c r="H19" s="371">
        <f>IF(G19="","",IF($D$9=1,VLOOKUP(G19,Data!$AI$4:$AQ$85,2),IF($D$9=2,VLOOKUP(G19,Data!$AI$4:$AQ$85,4),IF($D$9=3,VLOOKUP(G19,Data!$AI$4:$AQ$85,6),VLOOKUP(G19,Data!$AI$4:$AQ$85,8)))))</f>
        <v>75.75</v>
      </c>
      <c r="I19" s="371">
        <f>IF(G19="","",IF($D$9=1,VLOOKUP(G19,Data!$AI$4:$AQ$85,3),IF($D$9=2,VLOOKUP(G19,Data!$AI$4:$AQ$85,5),IF($D$9=3,VLOOKUP(G19,Data!$AI$4:$AQ$85,7),VLOOKUP(G19,Data!$AI$4:$AQ$85,9)))))</f>
        <v>30.060000000000006</v>
      </c>
      <c r="J19" s="413">
        <f t="shared" si="0"/>
        <v>15954.82</v>
      </c>
      <c r="K19" s="407"/>
    </row>
    <row r="20" spans="1:11" ht="15" customHeight="1">
      <c r="A20" s="415"/>
      <c r="B20" s="374">
        <f>IF($D$9=1,IF(Data!AI6&lt;=28,Data!AI6,""),IF($D$9=2,IF(Data!AI6&lt;=42,Data!AI6,""),IF($D$9=3,IF(Data!AI6&lt;=66,Data!AI6,""),Data!AI6)))</f>
        <v>2</v>
      </c>
      <c r="C20" s="371">
        <f>IF(B20="","",IF($D$9=1,VLOOKUP(B20,Data!$AI$4:$AQ$85,2),IF($D$9=2,VLOOKUP(B20,Data!$AI$4:$AQ$85,4),IF($D$9=3,VLOOKUP(B20,Data!$AI$4:$AQ$85,6),VLOOKUP(B20,Data!$AI$4:$AQ$85,8)))))</f>
        <v>0</v>
      </c>
      <c r="D20" s="371">
        <f>IF(B20="","",IF($D$9=1,VLOOKUP(B20,Data!$AI$4:$AQ$85,3),IF($D$9=2,VLOOKUP(B20,Data!$AI$4:$AQ$85,5),IF($D$9=3,VLOOKUP(B20,Data!$AI$4:$AQ$85,7),VLOOKUP(B20,Data!$AI$4:$AQ$85,9)))))</f>
        <v>0</v>
      </c>
      <c r="E20" s="413">
        <f t="shared" si="1"/>
        <v>417.93333333333334</v>
      </c>
      <c r="F20" s="414"/>
      <c r="G20" s="374">
        <f>IF($D$9=1,IF(Data!AI47&lt;=28,Data!AI47,""),IF($D$9=2,IF(Data!AI47&lt;=42,Data!AI47,""),IF($D$9=3,IF(Data!AI47&lt;=66,Data!AI47,""),Data!AI47)))</f>
        <v>43</v>
      </c>
      <c r="H20" s="371">
        <f>IF(G20="","",IF($D$9=1,VLOOKUP(G20,Data!$AI$4:$AQ$85,2),IF($D$9=2,VLOOKUP(G20,Data!$AI$4:$AQ$85,4),IF($D$9=3,VLOOKUP(G20,Data!$AI$4:$AQ$85,6),VLOOKUP(G20,Data!$AI$4:$AQ$85,8)))))</f>
        <v>77.760000000000005</v>
      </c>
      <c r="I20" s="371">
        <f>IF(G20="","",IF($D$9=1,VLOOKUP(G20,Data!$AI$4:$AQ$85,3),IF($D$9=2,VLOOKUP(G20,Data!$AI$4:$AQ$85,5),IF($D$9=3,VLOOKUP(G20,Data!$AI$4:$AQ$85,7),VLOOKUP(G20,Data!$AI$4:$AQ$85,9)))))</f>
        <v>30.750000000000007</v>
      </c>
      <c r="J20" s="413">
        <f t="shared" si="0"/>
        <v>16352.966666666667</v>
      </c>
      <c r="K20" s="407"/>
    </row>
    <row r="21" spans="1:11" ht="15" customHeight="1">
      <c r="A21" s="405"/>
      <c r="B21" s="374">
        <f>IF($D$9=1,IF(Data!AI7&lt;=28,Data!AI7,""),IF($D$9=2,IF(Data!AI7&lt;=42,Data!AI7,""),IF($D$9=3,IF(Data!AI7&lt;=66,Data!AI7,""),Data!AI7)))</f>
        <v>3</v>
      </c>
      <c r="C21" s="371">
        <f>IF(B21="","",IF($D$9=1,VLOOKUP(B21,Data!$AI$4:$AQ$85,2),IF($D$9=2,VLOOKUP(B21,Data!$AI$4:$AQ$85,4),IF($D$9=3,VLOOKUP(B21,Data!$AI$4:$AQ$85,6),VLOOKUP(B21,Data!$AI$4:$AQ$85,8)))))</f>
        <v>0</v>
      </c>
      <c r="D21" s="371">
        <f>IF(B21="","",IF($D$9=1,VLOOKUP(B21,Data!$AI$4:$AQ$85,3),IF($D$9=2,VLOOKUP(B21,Data!$AI$4:$AQ$85,5),IF($D$9=3,VLOOKUP(B21,Data!$AI$4:$AQ$85,7),VLOOKUP(B21,Data!$AI$4:$AQ$85,9)))))</f>
        <v>0</v>
      </c>
      <c r="E21" s="413">
        <f t="shared" si="1"/>
        <v>626.90000000000009</v>
      </c>
      <c r="F21" s="414"/>
      <c r="G21" s="374">
        <f>IF($D$9=1,IF(Data!AI48&lt;=28,Data!AI48,""),IF($D$9=2,IF(Data!AI48&lt;=42,Data!AI48,""),IF($D$9=3,IF(Data!AI48&lt;=66,Data!AI48,""),Data!AI48)))</f>
        <v>44</v>
      </c>
      <c r="H21" s="371">
        <f>IF(G21="","",IF($D$9=1,VLOOKUP(G21,Data!$AI$4:$AQ$85,2),IF($D$9=2,VLOOKUP(G21,Data!$AI$4:$AQ$85,4),IF($D$9=3,VLOOKUP(G21,Data!$AI$4:$AQ$85,6),VLOOKUP(G21,Data!$AI$4:$AQ$85,8)))))</f>
        <v>79.739999999999995</v>
      </c>
      <c r="I21" s="371">
        <f>IF(G21="","",IF($D$9=1,VLOOKUP(G21,Data!$AI$4:$AQ$85,3),IF($D$9=2,VLOOKUP(G21,Data!$AI$4:$AQ$85,5),IF($D$9=3,VLOOKUP(G21,Data!$AI$4:$AQ$85,7),VLOOKUP(G21,Data!$AI$4:$AQ$85,9)))))</f>
        <v>31.420000000000009</v>
      </c>
      <c r="J21" s="413">
        <f t="shared" si="0"/>
        <v>16748.173333333336</v>
      </c>
      <c r="K21" s="407"/>
    </row>
    <row r="22" spans="1:11" ht="15" customHeight="1">
      <c r="A22" s="405"/>
      <c r="B22" s="374">
        <f>IF($D$9=1,IF(Data!AI8&lt;=28,Data!AI8,""),IF($D$9=2,IF(Data!AI8&lt;=42,Data!AI8,""),IF($D$9=3,IF(Data!AI8&lt;=66,Data!AI8,""),Data!AI8)))</f>
        <v>4</v>
      </c>
      <c r="C22" s="371">
        <f>IF(B22="","",IF($D$9=1,VLOOKUP(B22,Data!$AI$4:$AQ$85,2),IF($D$9=2,VLOOKUP(B22,Data!$AI$4:$AQ$85,4),IF($D$9=3,VLOOKUP(B22,Data!$AI$4:$AQ$85,6),VLOOKUP(B22,Data!$AI$4:$AQ$85,8)))))</f>
        <v>0</v>
      </c>
      <c r="D22" s="371">
        <f>IF(B22="","",IF($D$9=1,VLOOKUP(B22,Data!$AI$4:$AQ$85,3),IF($D$9=2,VLOOKUP(B22,Data!$AI$4:$AQ$85,5),IF($D$9=3,VLOOKUP(B22,Data!$AI$4:$AQ$85,7),VLOOKUP(B22,Data!$AI$4:$AQ$85,9)))))</f>
        <v>0</v>
      </c>
      <c r="E22" s="413">
        <f t="shared" si="1"/>
        <v>835.86666666666667</v>
      </c>
      <c r="F22" s="414"/>
      <c r="G22" s="374">
        <f>IF($D$9=1,IF(Data!AI49&lt;=28,Data!AI49,""),IF($D$9=2,IF(Data!AI49&lt;=42,Data!AI49,""),IF($D$9=3,IF(Data!AI49&lt;=66,Data!AI49,""),Data!AI49)))</f>
        <v>45</v>
      </c>
      <c r="H22" s="371">
        <f>IF(G22="","",IF($D$9=1,VLOOKUP(G22,Data!$AI$4:$AQ$85,2),IF($D$9=2,VLOOKUP(G22,Data!$AI$4:$AQ$85,4),IF($D$9=3,VLOOKUP(G22,Data!$AI$4:$AQ$85,6),VLOOKUP(G22,Data!$AI$4:$AQ$85,8)))))</f>
        <v>81.69</v>
      </c>
      <c r="I22" s="371">
        <f>IF(G22="","",IF($D$9=1,VLOOKUP(G22,Data!$AI$4:$AQ$85,3),IF($D$9=2,VLOOKUP(G22,Data!$AI$4:$AQ$85,5),IF($D$9=3,VLOOKUP(G22,Data!$AI$4:$AQ$85,7),VLOOKUP(G22,Data!$AI$4:$AQ$85,9)))))</f>
        <v>32.070000000000007</v>
      </c>
      <c r="J22" s="413">
        <f t="shared" si="0"/>
        <v>17140.440000000002</v>
      </c>
      <c r="K22" s="407"/>
    </row>
    <row r="23" spans="1:11" ht="15" customHeight="1">
      <c r="A23" s="405"/>
      <c r="B23" s="374">
        <f>IF($D$9=1,IF(Data!AI9&lt;=28,Data!AI9,""),IF($D$9=2,IF(Data!AI9&lt;=42,Data!AI9,""),IF($D$9=3,IF(Data!AI9&lt;=66,Data!AI9,""),Data!AI9)))</f>
        <v>5</v>
      </c>
      <c r="C23" s="371">
        <f>IF(B23="","",IF($D$9=1,VLOOKUP(B23,Data!$AI$4:$AQ$85,2),IF($D$9=2,VLOOKUP(B23,Data!$AI$4:$AQ$85,4),IF($D$9=3,VLOOKUP(B23,Data!$AI$4:$AQ$85,6),VLOOKUP(B23,Data!$AI$4:$AQ$85,8)))))</f>
        <v>0</v>
      </c>
      <c r="D23" s="371">
        <f>IF(B23="","",IF($D$9=1,VLOOKUP(B23,Data!$AI$4:$AQ$85,3),IF($D$9=2,VLOOKUP(B23,Data!$AI$4:$AQ$85,5),IF($D$9=3,VLOOKUP(B23,Data!$AI$4:$AQ$85,7),VLOOKUP(B23,Data!$AI$4:$AQ$85,9)))))</f>
        <v>0</v>
      </c>
      <c r="E23" s="413">
        <f t="shared" si="1"/>
        <v>1044.8333333333335</v>
      </c>
      <c r="F23" s="414"/>
      <c r="G23" s="374">
        <f>IF($D$9=1,IF(Data!AI50&lt;=28,Data!AI50,""),IF($D$9=2,IF(Data!AI50&lt;=42,Data!AI50,""),IF($D$9=3,IF(Data!AI50&lt;=66,Data!AI50,""),Data!AI50)))</f>
        <v>46</v>
      </c>
      <c r="H23" s="371">
        <f>IF(G23="","",IF($D$9=1,VLOOKUP(G23,Data!$AI$4:$AQ$85,2),IF($D$9=2,VLOOKUP(G23,Data!$AI$4:$AQ$85,4),IF($D$9=3,VLOOKUP(G23,Data!$AI$4:$AQ$85,6),VLOOKUP(G23,Data!$AI$4:$AQ$85,8)))))</f>
        <v>83.61</v>
      </c>
      <c r="I23" s="371">
        <f>IF(G23="","",IF($D$9=1,VLOOKUP(G23,Data!$AI$4:$AQ$85,3),IF($D$9=2,VLOOKUP(G23,Data!$AI$4:$AQ$85,5),IF($D$9=3,VLOOKUP(G23,Data!$AI$4:$AQ$85,7),VLOOKUP(G23,Data!$AI$4:$AQ$85,9)))))</f>
        <v>32.690000000000005</v>
      </c>
      <c r="J23" s="413">
        <f t="shared" si="0"/>
        <v>17529.646666666667</v>
      </c>
      <c r="K23" s="407"/>
    </row>
    <row r="24" spans="1:11" ht="15" customHeight="1">
      <c r="A24" s="416"/>
      <c r="B24" s="374">
        <f>IF($D$9=1,IF(Data!AI10&lt;=28,Data!AI10,""),IF($D$9=2,IF(Data!AI10&lt;=42,Data!AI10,""),IF($D$9=3,IF(Data!AI10&lt;=66,Data!AI10,""),Data!AI10)))</f>
        <v>6</v>
      </c>
      <c r="C24" s="371">
        <f>IF(B24="","",IF($D$9=1,VLOOKUP(B24,Data!$AI$4:$AQ$85,2),IF($D$9=2,VLOOKUP(B24,Data!$AI$4:$AQ$85,4),IF($D$9=3,VLOOKUP(B24,Data!$AI$4:$AQ$85,6),VLOOKUP(B24,Data!$AI$4:$AQ$85,8)))))</f>
        <v>0</v>
      </c>
      <c r="D24" s="371">
        <f>IF(B24="","",IF($D$9=1,VLOOKUP(B24,Data!$AI$4:$AQ$85,3),IF($D$9=2,VLOOKUP(B24,Data!$AI$4:$AQ$85,5),IF($D$9=3,VLOOKUP(B24,Data!$AI$4:$AQ$85,7),VLOOKUP(B24,Data!$AI$4:$AQ$85,9)))))</f>
        <v>0</v>
      </c>
      <c r="E24" s="413">
        <f t="shared" si="1"/>
        <v>1253.8000000000002</v>
      </c>
      <c r="F24" s="414"/>
      <c r="G24" s="374">
        <f>IF($D$9=1,IF(Data!AI51&lt;=28,Data!AI51,""),IF($D$9=2,IF(Data!AI51&lt;=42,Data!AI51,""),IF($D$9=3,IF(Data!AI51&lt;=66,Data!AI51,""),Data!AI51)))</f>
        <v>47</v>
      </c>
      <c r="H24" s="371">
        <f>IF(G24="","",IF($D$9=1,VLOOKUP(G24,Data!$AI$4:$AQ$85,2),IF($D$9=2,VLOOKUP(G24,Data!$AI$4:$AQ$85,4),IF($D$9=3,VLOOKUP(G24,Data!$AI$4:$AQ$85,6),VLOOKUP(G24,Data!$AI$4:$AQ$85,8)))))</f>
        <v>85.5</v>
      </c>
      <c r="I24" s="371">
        <f>IF(G24="","",IF($D$9=1,VLOOKUP(G24,Data!$AI$4:$AQ$85,3),IF($D$9=2,VLOOKUP(G24,Data!$AI$4:$AQ$85,5),IF($D$9=3,VLOOKUP(G24,Data!$AI$4:$AQ$85,7),VLOOKUP(G24,Data!$AI$4:$AQ$85,9)))))</f>
        <v>33.290000000000006</v>
      </c>
      <c r="J24" s="413">
        <f t="shared" si="0"/>
        <v>17915.913333333334</v>
      </c>
      <c r="K24" s="407"/>
    </row>
    <row r="25" spans="1:11" ht="15" customHeight="1">
      <c r="A25" s="405"/>
      <c r="B25" s="374">
        <f>IF($D$9=1,IF(Data!AI11&lt;=28,Data!AI11,""),IF($D$9=2,IF(Data!AI11&lt;=42,Data!AI11,""),IF($D$9=3,IF(Data!AI11&lt;=66,Data!AI11,""),Data!AI11)))</f>
        <v>7</v>
      </c>
      <c r="C25" s="371">
        <f>IF(B25="","",IF($D$9=1,VLOOKUP(B25,Data!$AI$4:$AQ$85,2),IF($D$9=2,VLOOKUP(B25,Data!$AI$4:$AQ$85,4),IF($D$9=3,VLOOKUP(B25,Data!$AI$4:$AQ$85,6),VLOOKUP(B25,Data!$AI$4:$AQ$85,8)))))</f>
        <v>0</v>
      </c>
      <c r="D25" s="371">
        <f>IF(B25="","",IF($D$9=1,VLOOKUP(B25,Data!$AI$4:$AQ$85,3),IF($D$9=2,VLOOKUP(B25,Data!$AI$4:$AQ$85,5),IF($D$9=3,VLOOKUP(B25,Data!$AI$4:$AQ$85,7),VLOOKUP(B25,Data!$AI$4:$AQ$85,9)))))</f>
        <v>0</v>
      </c>
      <c r="E25" s="413">
        <f t="shared" si="1"/>
        <v>1462.7666666666669</v>
      </c>
      <c r="F25" s="414"/>
      <c r="G25" s="374">
        <f>IF($D$9=1,IF(Data!AI52&lt;=28,Data!AI52,""),IF($D$9=2,IF(Data!AI52&lt;=42,Data!AI52,""),IF($D$9=3,IF(Data!AI52&lt;=66,Data!AI52,""),Data!AI52)))</f>
        <v>48</v>
      </c>
      <c r="H25" s="371">
        <f>IF(G25="","",IF($D$9=1,VLOOKUP(G25,Data!$AI$4:$AQ$85,2),IF($D$9=2,VLOOKUP(G25,Data!$AI$4:$AQ$85,4),IF($D$9=3,VLOOKUP(G25,Data!$AI$4:$AQ$85,6),VLOOKUP(G25,Data!$AI$4:$AQ$85,8)))))</f>
        <v>87.35</v>
      </c>
      <c r="I25" s="371">
        <f>IF(G25="","",IF($D$9=1,VLOOKUP(G25,Data!$AI$4:$AQ$85,3),IF($D$9=2,VLOOKUP(G25,Data!$AI$4:$AQ$85,5),IF($D$9=3,VLOOKUP(G25,Data!$AI$4:$AQ$85,7),VLOOKUP(G25,Data!$AI$4:$AQ$85,9)))))</f>
        <v>33.870000000000005</v>
      </c>
      <c r="J25" s="413">
        <f t="shared" si="0"/>
        <v>18298.340000000004</v>
      </c>
      <c r="K25" s="407"/>
    </row>
    <row r="26" spans="1:11" ht="15" customHeight="1">
      <c r="A26" s="405"/>
      <c r="B26" s="374">
        <f>IF($D$9=1,IF(Data!AI12&lt;=28,Data!AI12,""),IF($D$9=2,IF(Data!AI12&lt;=42,Data!AI12,""),IF($D$9=3,IF(Data!AI12&lt;=66,Data!AI12,""),Data!AI12)))</f>
        <v>8</v>
      </c>
      <c r="C26" s="371">
        <f>IF(B26="","",IF($D$9=1,VLOOKUP(B26,Data!$AI$4:$AQ$85,2),IF($D$9=2,VLOOKUP(B26,Data!$AI$4:$AQ$85,4),IF($D$9=3,VLOOKUP(B26,Data!$AI$4:$AQ$85,6),VLOOKUP(B26,Data!$AI$4:$AQ$85,8)))))</f>
        <v>0</v>
      </c>
      <c r="D26" s="371">
        <f>IF(B26="","",IF($D$9=1,VLOOKUP(B26,Data!$AI$4:$AQ$85,3),IF($D$9=2,VLOOKUP(B26,Data!$AI$4:$AQ$85,5),IF($D$9=3,VLOOKUP(B26,Data!$AI$4:$AQ$85,7),VLOOKUP(B26,Data!$AI$4:$AQ$85,9)))))</f>
        <v>0</v>
      </c>
      <c r="E26" s="413">
        <f t="shared" si="1"/>
        <v>1671.7333333333333</v>
      </c>
      <c r="F26" s="414"/>
      <c r="G26" s="374">
        <f>IF($D$9=1,IF(Data!AI53&lt;=28,Data!AI53,""),IF($D$9=2,IF(Data!AI53&lt;=42,Data!AI53,""),IF($D$9=3,IF(Data!AI53&lt;=66,Data!AI53,""),Data!AI53)))</f>
        <v>49</v>
      </c>
      <c r="H26" s="371">
        <f>IF(G26="","",IF($D$9=1,VLOOKUP(G26,Data!$AI$4:$AQ$85,2),IF($D$9=2,VLOOKUP(G26,Data!$AI$4:$AQ$85,4),IF($D$9=3,VLOOKUP(G26,Data!$AI$4:$AQ$85,6),VLOOKUP(G26,Data!$AI$4:$AQ$85,8)))))</f>
        <v>89.16</v>
      </c>
      <c r="I26" s="371">
        <f>IF(G26="","",IF($D$9=1,VLOOKUP(G26,Data!$AI$4:$AQ$85,3),IF($D$9=2,VLOOKUP(G26,Data!$AI$4:$AQ$85,5),IF($D$9=3,VLOOKUP(G26,Data!$AI$4:$AQ$85,7),VLOOKUP(G26,Data!$AI$4:$AQ$85,9)))))</f>
        <v>34.430000000000007</v>
      </c>
      <c r="J26" s="413">
        <f t="shared" si="0"/>
        <v>18676.926666666666</v>
      </c>
      <c r="K26" s="407"/>
    </row>
    <row r="27" spans="1:11" ht="15" customHeight="1">
      <c r="A27" s="405"/>
      <c r="B27" s="374">
        <f>IF($D$9=1,IF(Data!AI13&lt;=28,Data!AI13,""),IF($D$9=2,IF(Data!AI13&lt;=42,Data!AI13,""),IF($D$9=3,IF(Data!AI13&lt;=66,Data!AI13,""),Data!AI13)))</f>
        <v>9</v>
      </c>
      <c r="C27" s="371">
        <f>IF(B27="","",IF($D$9=1,VLOOKUP(B27,Data!$AI$4:$AQ$85,2),IF($D$9=2,VLOOKUP(B27,Data!$AI$4:$AQ$85,4),IF($D$9=3,VLOOKUP(B27,Data!$AI$4:$AQ$85,6),VLOOKUP(B27,Data!$AI$4:$AQ$85,8)))))</f>
        <v>0</v>
      </c>
      <c r="D27" s="371">
        <f>IF(B27="","",IF($D$9=1,VLOOKUP(B27,Data!$AI$4:$AQ$85,3),IF($D$9=2,VLOOKUP(B27,Data!$AI$4:$AQ$85,5),IF($D$9=3,VLOOKUP(B27,Data!$AI$4:$AQ$85,7),VLOOKUP(B27,Data!$AI$4:$AQ$85,9)))))</f>
        <v>0</v>
      </c>
      <c r="E27" s="413">
        <f t="shared" si="1"/>
        <v>1880.7</v>
      </c>
      <c r="F27" s="414"/>
      <c r="G27" s="374">
        <f>IF($D$9=1,IF(Data!AI54&lt;=28,Data!AI54,""),IF($D$9=2,IF(Data!AI54&lt;=42,Data!AI54,""),IF($D$9=3,IF(Data!AI54&lt;=66,Data!AI54,""),Data!AI54)))</f>
        <v>50</v>
      </c>
      <c r="H27" s="371">
        <f>IF(G27="","",IF($D$9=1,VLOOKUP(G27,Data!$AI$4:$AQ$85,2),IF($D$9=2,VLOOKUP(G27,Data!$AI$4:$AQ$85,4),IF($D$9=3,VLOOKUP(G27,Data!$AI$4:$AQ$85,6),VLOOKUP(G27,Data!$AI$4:$AQ$85,8)))))</f>
        <v>90.94</v>
      </c>
      <c r="I27" s="371">
        <f>IF(G27="","",IF($D$9=1,VLOOKUP(G27,Data!$AI$4:$AQ$85,3),IF($D$9=2,VLOOKUP(G27,Data!$AI$4:$AQ$85,5),IF($D$9=3,VLOOKUP(G27,Data!$AI$4:$AQ$85,7),VLOOKUP(G27,Data!$AI$4:$AQ$85,9)))))</f>
        <v>34.960000000000008</v>
      </c>
      <c r="J27" s="413">
        <f t="shared" si="0"/>
        <v>19052.453333333335</v>
      </c>
      <c r="K27" s="407"/>
    </row>
    <row r="28" spans="1:11" ht="15" customHeight="1">
      <c r="A28" s="416"/>
      <c r="B28" s="374">
        <f>IF($D$9=1,IF(Data!AI14&lt;=28,Data!AI14,""),IF($D$9=2,IF(Data!AI14&lt;=42,Data!AI14,""),IF($D$9=3,IF(Data!AI14&lt;=66,Data!AI14,""),Data!AI14)))</f>
        <v>10</v>
      </c>
      <c r="C28" s="371">
        <f>IF(B28="","",IF($D$9=1,VLOOKUP(B28,Data!$AI$4:$AQ$85,2),IF($D$9=2,VLOOKUP(B28,Data!$AI$4:$AQ$85,4),IF($D$9=3,VLOOKUP(B28,Data!$AI$4:$AQ$85,6),VLOOKUP(B28,Data!$AI$4:$AQ$85,8)))))</f>
        <v>3.05</v>
      </c>
      <c r="D28" s="371">
        <f>IF(B28="","",IF($D$9=1,VLOOKUP(B28,Data!$AI$4:$AQ$85,3),IF($D$9=2,VLOOKUP(B28,Data!$AI$4:$AQ$85,5),IF($D$9=3,VLOOKUP(B28,Data!$AI$4:$AQ$85,7),VLOOKUP(B28,Data!$AI$4:$AQ$85,9)))))</f>
        <v>0.92</v>
      </c>
      <c r="E28" s="413">
        <f t="shared" si="1"/>
        <v>2375.2066666666674</v>
      </c>
      <c r="F28" s="414"/>
      <c r="G28" s="374">
        <f>IF($D$9=1,IF(Data!AI55&lt;=28,Data!AI55,""),IF($D$9=2,IF(Data!AI55&lt;=42,Data!AI55,""),IF($D$9=3,IF(Data!AI55&lt;=66,Data!AI55,""),Data!AI55)))</f>
        <v>51</v>
      </c>
      <c r="H28" s="371">
        <f>IF(G28="","",IF($D$9=1,VLOOKUP(G28,Data!$AI$4:$AQ$85,2),IF($D$9=2,VLOOKUP(G28,Data!$AI$4:$AQ$85,4),IF($D$9=3,VLOOKUP(G28,Data!$AI$4:$AQ$85,6),VLOOKUP(G28,Data!$AI$4:$AQ$85,8)))))</f>
        <v>92.67</v>
      </c>
      <c r="I28" s="371">
        <f>IF(G28="","",IF($D$9=1,VLOOKUP(G28,Data!$AI$4:$AQ$85,3),IF($D$9=2,VLOOKUP(G28,Data!$AI$4:$AQ$85,5),IF($D$9=3,VLOOKUP(G28,Data!$AI$4:$AQ$85,7),VLOOKUP(G28,Data!$AI$4:$AQ$85,9)))))</f>
        <v>35.470000000000006</v>
      </c>
      <c r="J28" s="413">
        <f t="shared" si="0"/>
        <v>19423.240000000002</v>
      </c>
      <c r="K28" s="407"/>
    </row>
    <row r="29" spans="1:11" ht="15" customHeight="1">
      <c r="A29" s="405"/>
      <c r="B29" s="374">
        <f>IF($D$9=1,IF(Data!AI15&lt;=28,Data!AI15,""),IF($D$9=2,IF(Data!AI15&lt;=42,Data!AI15,""),IF($D$9=3,IF(Data!AI15&lt;=66,Data!AI15,""),Data!AI15)))</f>
        <v>11</v>
      </c>
      <c r="C29" s="371">
        <f>IF(B29="","",IF($D$9=1,VLOOKUP(B29,Data!$AI$4:$AQ$85,2),IF($D$9=2,VLOOKUP(B29,Data!$AI$4:$AQ$85,4),IF($D$9=3,VLOOKUP(B29,Data!$AI$4:$AQ$85,6),VLOOKUP(B29,Data!$AI$4:$AQ$85,8)))))</f>
        <v>5.51</v>
      </c>
      <c r="D29" s="371">
        <f>IF(B29="","",IF($D$9=1,VLOOKUP(B29,Data!$AI$4:$AQ$85,3),IF($D$9=2,VLOOKUP(B29,Data!$AI$4:$AQ$85,5),IF($D$9=3,VLOOKUP(B29,Data!$AI$4:$AQ$85,7),VLOOKUP(B29,Data!$AI$4:$AQ$85,9)))))</f>
        <v>1.9700000000000002</v>
      </c>
      <c r="E29" s="413">
        <f t="shared" si="1"/>
        <v>2818.1733333333336</v>
      </c>
      <c r="F29" s="414"/>
      <c r="G29" s="374">
        <f>IF($D$9=1,IF(Data!AI56&lt;=28,Data!AI56,""),IF($D$9=2,IF(Data!AI56&lt;=42,Data!AI56,""),IF($D$9=3,IF(Data!AI56&lt;=66,Data!AI56,""),Data!AI56)))</f>
        <v>52</v>
      </c>
      <c r="H29" s="371">
        <f>IF(G29="","",IF($D$9=1,VLOOKUP(G29,Data!$AI$4:$AQ$85,2),IF($D$9=2,VLOOKUP(G29,Data!$AI$4:$AQ$85,4),IF($D$9=3,VLOOKUP(G29,Data!$AI$4:$AQ$85,6),VLOOKUP(G29,Data!$AI$4:$AQ$85,8)))))</f>
        <v>94.36</v>
      </c>
      <c r="I29" s="371">
        <f>IF(G29="","",IF($D$9=1,VLOOKUP(G29,Data!$AI$4:$AQ$85,3),IF($D$9=2,VLOOKUP(G29,Data!$AI$4:$AQ$85,5),IF($D$9=3,VLOOKUP(G29,Data!$AI$4:$AQ$85,7),VLOOKUP(G29,Data!$AI$4:$AQ$85,9)))))</f>
        <v>35.950000000000003</v>
      </c>
      <c r="J29" s="413">
        <f t="shared" si="0"/>
        <v>19790.066666666666</v>
      </c>
      <c r="K29" s="407"/>
    </row>
    <row r="30" spans="1:11" ht="15" customHeight="1">
      <c r="A30" s="405"/>
      <c r="B30" s="374">
        <f>IF($D$9=1,IF(Data!AI16&lt;=28,Data!AI16,""),IF($D$9=2,IF(Data!AI16&lt;=42,Data!AI16,""),IF($D$9=3,IF(Data!AI16&lt;=66,Data!AI16,""),Data!AI16)))</f>
        <v>12</v>
      </c>
      <c r="C30" s="371">
        <f>IF(B30="","",IF($D$9=1,VLOOKUP(B30,Data!$AI$4:$AQ$85,2),IF($D$9=2,VLOOKUP(B30,Data!$AI$4:$AQ$85,4),IF($D$9=3,VLOOKUP(B30,Data!$AI$4:$AQ$85,6),VLOOKUP(B30,Data!$AI$4:$AQ$85,8)))))</f>
        <v>7.96</v>
      </c>
      <c r="D30" s="371">
        <f>IF(B30="","",IF($D$9=1,VLOOKUP(B30,Data!$AI$4:$AQ$85,3),IF($D$9=2,VLOOKUP(B30,Data!$AI$4:$AQ$85,5),IF($D$9=3,VLOOKUP(B30,Data!$AI$4:$AQ$85,7),VLOOKUP(B30,Data!$AI$4:$AQ$85,9)))))</f>
        <v>3.0100000000000002</v>
      </c>
      <c r="E30" s="413">
        <f t="shared" si="1"/>
        <v>3260.12</v>
      </c>
      <c r="F30" s="414"/>
      <c r="G30" s="374">
        <f>IF($D$9=1,IF(Data!AI57&lt;=28,Data!AI57,""),IF($D$9=2,IF(Data!AI57&lt;=42,Data!AI57,""),IF($D$9=3,IF(Data!AI57&lt;=66,Data!AI57,""),Data!AI57)))</f>
        <v>53</v>
      </c>
      <c r="H30" s="371">
        <f>IF(G30="","",IF($D$9=1,VLOOKUP(G30,Data!$AI$4:$AQ$85,2),IF($D$9=2,VLOOKUP(G30,Data!$AI$4:$AQ$85,4),IF($D$9=3,VLOOKUP(G30,Data!$AI$4:$AQ$85,6),VLOOKUP(G30,Data!$AI$4:$AQ$85,8)))))</f>
        <v>95.99</v>
      </c>
      <c r="I30" s="371">
        <f>IF(G30="","",IF($D$9=1,VLOOKUP(G30,Data!$AI$4:$AQ$85,3),IF($D$9=2,VLOOKUP(G30,Data!$AI$4:$AQ$85,5),IF($D$9=3,VLOOKUP(G30,Data!$AI$4:$AQ$85,7),VLOOKUP(G30,Data!$AI$4:$AQ$85,9)))))</f>
        <v>36.39</v>
      </c>
      <c r="J30" s="413">
        <f t="shared" si="0"/>
        <v>20151.013333333332</v>
      </c>
      <c r="K30" s="407"/>
    </row>
    <row r="31" spans="1:11" ht="15" customHeight="1">
      <c r="A31" s="405"/>
      <c r="B31" s="374">
        <f>IF($D$9=1,IF(Data!AI17&lt;=28,Data!AI17,""),IF($D$9=2,IF(Data!AI17&lt;=42,Data!AI17,""),IF($D$9=3,IF(Data!AI17&lt;=66,Data!AI17,""),Data!AI17)))</f>
        <v>13</v>
      </c>
      <c r="C31" s="371">
        <f>IF(B31="","",IF($D$9=1,VLOOKUP(B31,Data!$AI$4:$AQ$85,2),IF($D$9=2,VLOOKUP(B31,Data!$AI$4:$AQ$85,4),IF($D$9=3,VLOOKUP(B31,Data!$AI$4:$AQ$85,6),VLOOKUP(B31,Data!$AI$4:$AQ$85,8)))))</f>
        <v>10.39</v>
      </c>
      <c r="D31" s="371">
        <f>IF(B31="","",IF($D$9=1,VLOOKUP(B31,Data!$AI$4:$AQ$85,3),IF($D$9=2,VLOOKUP(B31,Data!$AI$4:$AQ$85,5),IF($D$9=3,VLOOKUP(B31,Data!$AI$4:$AQ$85,7),VLOOKUP(B31,Data!$AI$4:$AQ$85,9)))))</f>
        <v>4.04</v>
      </c>
      <c r="E31" s="413">
        <f t="shared" si="1"/>
        <v>3700.1466666666665</v>
      </c>
      <c r="F31" s="414"/>
      <c r="G31" s="374">
        <f>IF($D$9=1,IF(Data!AI58&lt;=28,Data!AI58,""),IF($D$9=2,IF(Data!AI58&lt;=42,Data!AI58,""),IF($D$9=3,IF(Data!AI58&lt;=66,Data!AI58,""),Data!AI58)))</f>
        <v>54</v>
      </c>
      <c r="H31" s="371">
        <f>IF(G31="","",IF($D$9=1,VLOOKUP(G31,Data!$AI$4:$AQ$85,2),IF($D$9=2,VLOOKUP(G31,Data!$AI$4:$AQ$85,4),IF($D$9=3,VLOOKUP(G31,Data!$AI$4:$AQ$85,6),VLOOKUP(G31,Data!$AI$4:$AQ$85,8)))))</f>
        <v>97.57</v>
      </c>
      <c r="I31" s="371">
        <f>IF(G31="","",IF($D$9=1,VLOOKUP(G31,Data!$AI$4:$AQ$85,3),IF($D$9=2,VLOOKUP(G31,Data!$AI$4:$AQ$85,5),IF($D$9=3,VLOOKUP(G31,Data!$AI$4:$AQ$85,7),VLOOKUP(G31,Data!$AI$4:$AQ$85,9)))))</f>
        <v>36.81</v>
      </c>
      <c r="J31" s="413">
        <f t="shared" si="0"/>
        <v>20507.219999999998</v>
      </c>
      <c r="K31" s="407"/>
    </row>
    <row r="32" spans="1:11" ht="15" customHeight="1">
      <c r="A32" s="417"/>
      <c r="B32" s="374">
        <f>IF($D$9=1,IF(Data!AI18&lt;=28,Data!AI18,""),IF($D$9=2,IF(Data!AI18&lt;=42,Data!AI18,""),IF($D$9=3,IF(Data!AI18&lt;=66,Data!AI18,""),Data!AI18)))</f>
        <v>14</v>
      </c>
      <c r="C32" s="371">
        <f>IF(B32="","",IF($D$9=1,VLOOKUP(B32,Data!$AI$4:$AQ$85,2),IF($D$9=2,VLOOKUP(B32,Data!$AI$4:$AQ$85,4),IF($D$9=3,VLOOKUP(B32,Data!$AI$4:$AQ$85,6),VLOOKUP(B32,Data!$AI$4:$AQ$85,8)))))</f>
        <v>12.81</v>
      </c>
      <c r="D32" s="371">
        <f>IF(B32="","",IF($D$9=1,VLOOKUP(B32,Data!$AI$4:$AQ$85,3),IF($D$9=2,VLOOKUP(B32,Data!$AI$4:$AQ$85,5),IF($D$9=3,VLOOKUP(B32,Data!$AI$4:$AQ$85,7),VLOOKUP(B32,Data!$AI$4:$AQ$85,9)))))</f>
        <v>5.07</v>
      </c>
      <c r="E32" s="413">
        <f t="shared" si="1"/>
        <v>4139.2733333333335</v>
      </c>
      <c r="F32" s="414"/>
      <c r="G32" s="374">
        <f>IF($D$9=1,IF(Data!AI59&lt;=28,Data!AI59,""),IF($D$9=2,IF(Data!AI59&lt;=42,Data!AI59,""),IF($D$9=3,IF(Data!AI59&lt;=66,Data!AI59,""),Data!AI59)))</f>
        <v>55</v>
      </c>
      <c r="H32" s="371">
        <f>IF(G32="","",IF($D$9=1,VLOOKUP(G32,Data!$AI$4:$AQ$85,2),IF($D$9=2,VLOOKUP(G32,Data!$AI$4:$AQ$85,4),IF($D$9=3,VLOOKUP(G32,Data!$AI$4:$AQ$85,6),VLOOKUP(G32,Data!$AI$4:$AQ$85,8)))))</f>
        <v>99.1</v>
      </c>
      <c r="I32" s="371">
        <f>IF(G32="","",IF($D$9=1,VLOOKUP(G32,Data!$AI$4:$AQ$85,3),IF($D$9=2,VLOOKUP(G32,Data!$AI$4:$AQ$85,5),IF($D$9=3,VLOOKUP(G32,Data!$AI$4:$AQ$85,7),VLOOKUP(G32,Data!$AI$4:$AQ$85,9)))))</f>
        <v>37.200000000000003</v>
      </c>
      <c r="J32" s="413">
        <f t="shared" si="0"/>
        <v>20858.566666666666</v>
      </c>
      <c r="K32" s="407"/>
    </row>
    <row r="33" spans="1:11" ht="15" customHeight="1">
      <c r="A33" s="417"/>
      <c r="B33" s="374">
        <f>IF($D$9=1,IF(Data!AI19&lt;=28,Data!AI19,""),IF($D$9=2,IF(Data!AI19&lt;=42,Data!AI19,""),IF($D$9=3,IF(Data!AI19&lt;=66,Data!AI19,""),Data!AI19)))</f>
        <v>15</v>
      </c>
      <c r="C33" s="371">
        <f>IF(B33="","",IF($D$9=1,VLOOKUP(B33,Data!$AI$4:$AQ$85,2),IF($D$9=2,VLOOKUP(B33,Data!$AI$4:$AQ$85,4),IF($D$9=3,VLOOKUP(B33,Data!$AI$4:$AQ$85,6),VLOOKUP(B33,Data!$AI$4:$AQ$85,8)))))</f>
        <v>15.22</v>
      </c>
      <c r="D33" s="371">
        <f>IF(B33="","",IF($D$9=1,VLOOKUP(B33,Data!$AI$4:$AQ$85,3),IF($D$9=2,VLOOKUP(B33,Data!$AI$4:$AQ$85,5),IF($D$9=3,VLOOKUP(B33,Data!$AI$4:$AQ$85,7),VLOOKUP(B33,Data!$AI$4:$AQ$85,9)))))</f>
        <v>6.09</v>
      </c>
      <c r="E33" s="413">
        <f t="shared" si="1"/>
        <v>4577.38</v>
      </c>
      <c r="F33" s="414"/>
      <c r="G33" s="374">
        <f>IF($D$9=1,IF(Data!AI60&lt;=28,Data!AI60,""),IF($D$9=2,IF(Data!AI60&lt;=42,Data!AI60,""),IF($D$9=3,IF(Data!AI60&lt;=66,Data!AI60,""),Data!AI60)))</f>
        <v>56</v>
      </c>
      <c r="H33" s="371">
        <f>IF(G33="","",IF($D$9=1,VLOOKUP(G33,Data!$AI$4:$AQ$85,2),IF($D$9=2,VLOOKUP(G33,Data!$AI$4:$AQ$85,4),IF($D$9=3,VLOOKUP(G33,Data!$AI$4:$AQ$85,6),VLOOKUP(G33,Data!$AI$4:$AQ$85,8)))))</f>
        <v>100.56</v>
      </c>
      <c r="I33" s="371">
        <f>IF(G33="","",IF($D$9=1,VLOOKUP(G33,Data!$AI$4:$AQ$85,3),IF($D$9=2,VLOOKUP(G33,Data!$AI$4:$AQ$85,5),IF($D$9=3,VLOOKUP(G33,Data!$AI$4:$AQ$85,7),VLOOKUP(G33,Data!$AI$4:$AQ$85,9)))))</f>
        <v>37.57</v>
      </c>
      <c r="J33" s="413">
        <f t="shared" si="0"/>
        <v>21203.373333333337</v>
      </c>
      <c r="K33" s="407"/>
    </row>
    <row r="34" spans="1:11" ht="15" customHeight="1">
      <c r="A34" s="418"/>
      <c r="B34" s="374">
        <f>IF($D$9=1,IF(Data!AI20&lt;=28,Data!AI20,""),IF($D$9=2,IF(Data!AI20&lt;=42,Data!AI20,""),IF($D$9=3,IF(Data!AI20&lt;=66,Data!AI20,""),Data!AI20)))</f>
        <v>16</v>
      </c>
      <c r="C34" s="371">
        <f>IF(B34="","",IF($D$9=1,VLOOKUP(B34,Data!$AI$4:$AQ$85,2),IF($D$9=2,VLOOKUP(B34,Data!$AI$4:$AQ$85,4),IF($D$9=3,VLOOKUP(B34,Data!$AI$4:$AQ$85,6),VLOOKUP(B34,Data!$AI$4:$AQ$85,8)))))</f>
        <v>17.62</v>
      </c>
      <c r="D34" s="371">
        <f>IF(B34="","",IF($D$9=1,VLOOKUP(B34,Data!$AI$4:$AQ$85,3),IF($D$9=2,VLOOKUP(B34,Data!$AI$4:$AQ$85,5),IF($D$9=3,VLOOKUP(B34,Data!$AI$4:$AQ$85,7),VLOOKUP(B34,Data!$AI$4:$AQ$85,9)))))</f>
        <v>7.1099999999999994</v>
      </c>
      <c r="E34" s="413">
        <f t="shared" si="1"/>
        <v>5014.586666666667</v>
      </c>
      <c r="F34" s="414"/>
      <c r="G34" s="374">
        <f>IF($D$9=1,IF(Data!AI61&lt;=28,Data!AI61,""),IF($D$9=2,IF(Data!AI61&lt;=42,Data!AI61,""),IF($D$9=3,IF(Data!AI61&lt;=66,Data!AI61,""),Data!AI61)))</f>
        <v>57</v>
      </c>
      <c r="H34" s="371">
        <f>IF(G34="","",IF($D$9=1,VLOOKUP(G34,Data!$AI$4:$AQ$85,2),IF($D$9=2,VLOOKUP(G34,Data!$AI$4:$AQ$85,4),IF($D$9=3,VLOOKUP(G34,Data!$AI$4:$AQ$85,6),VLOOKUP(G34,Data!$AI$4:$AQ$85,8)))))</f>
        <v>101.96</v>
      </c>
      <c r="I34" s="371">
        <f>IF(G34="","",IF($D$9=1,VLOOKUP(G34,Data!$AI$4:$AQ$85,3),IF($D$9=2,VLOOKUP(G34,Data!$AI$4:$AQ$85,5),IF($D$9=3,VLOOKUP(G34,Data!$AI$4:$AQ$85,7),VLOOKUP(G34,Data!$AI$4:$AQ$85,9)))))</f>
        <v>37.910000000000004</v>
      </c>
      <c r="J34" s="413">
        <f t="shared" si="0"/>
        <v>21542.420000000002</v>
      </c>
      <c r="K34" s="407"/>
    </row>
    <row r="35" spans="1:11" ht="15" customHeight="1">
      <c r="A35" s="418"/>
      <c r="B35" s="374">
        <f>IF($D$9=1,IF(Data!AI21&lt;=28,Data!AI21,""),IF($D$9=2,IF(Data!AI21&lt;=42,Data!AI21,""),IF($D$9=3,IF(Data!AI21&lt;=66,Data!AI21,""),Data!AI21)))</f>
        <v>17</v>
      </c>
      <c r="C35" s="371">
        <f>IF(B35="","",IF($D$9=1,VLOOKUP(B35,Data!$AI$4:$AQ$85,2),IF($D$9=2,VLOOKUP(B35,Data!$AI$4:$AQ$85,4),IF($D$9=3,VLOOKUP(B35,Data!$AI$4:$AQ$85,6),VLOOKUP(B35,Data!$AI$4:$AQ$85,8)))))</f>
        <v>20.010000000000002</v>
      </c>
      <c r="D35" s="371">
        <f>IF(B35="","",IF($D$9=1,VLOOKUP(B35,Data!$AI$4:$AQ$85,3),IF($D$9=2,VLOOKUP(B35,Data!$AI$4:$AQ$85,5),IF($D$9=3,VLOOKUP(B35,Data!$AI$4:$AQ$85,7),VLOOKUP(B35,Data!$AI$4:$AQ$85,9)))))</f>
        <v>8.1199999999999992</v>
      </c>
      <c r="E35" s="413">
        <f t="shared" si="1"/>
        <v>5450.7733333333335</v>
      </c>
      <c r="F35" s="414"/>
      <c r="G35" s="374">
        <f>IF($D$9=1,IF(Data!AI62&lt;=28,Data!AI62,""),IF($D$9=2,IF(Data!AI62&lt;=42,Data!AI62,""),IF($D$9=3,IF(Data!AI62&lt;=66,Data!AI62,""),Data!AI62)))</f>
        <v>58</v>
      </c>
      <c r="H35" s="371">
        <f>IF(G35="","",IF($D$9=1,VLOOKUP(G35,Data!$AI$4:$AQ$85,2),IF($D$9=2,VLOOKUP(G35,Data!$AI$4:$AQ$85,4),IF($D$9=3,VLOOKUP(G35,Data!$AI$4:$AQ$85,6),VLOOKUP(G35,Data!$AI$4:$AQ$85,8)))))</f>
        <v>103.28</v>
      </c>
      <c r="I35" s="371">
        <f>IF(G35="","",IF($D$9=1,VLOOKUP(G35,Data!$AI$4:$AQ$85,3),IF($D$9=2,VLOOKUP(G35,Data!$AI$4:$AQ$85,5),IF($D$9=3,VLOOKUP(G35,Data!$AI$4:$AQ$85,7),VLOOKUP(G35,Data!$AI$4:$AQ$85,9)))))</f>
        <v>38.230000000000004</v>
      </c>
      <c r="J35" s="413">
        <f t="shared" si="0"/>
        <v>21874.026666666665</v>
      </c>
      <c r="K35" s="407"/>
    </row>
    <row r="36" spans="1:11" ht="15" customHeight="1">
      <c r="A36" s="418"/>
      <c r="B36" s="374">
        <f>IF($D$9=1,IF(Data!AI22&lt;=28,Data!AI22,""),IF($D$9=2,IF(Data!AI22&lt;=42,Data!AI22,""),IF($D$9=3,IF(Data!AI22&lt;=66,Data!AI22,""),Data!AI22)))</f>
        <v>18</v>
      </c>
      <c r="C36" s="371">
        <f>IF(B36="","",IF($D$9=1,VLOOKUP(B36,Data!$AI$4:$AQ$85,2),IF($D$9=2,VLOOKUP(B36,Data!$AI$4:$AQ$85,4),IF($D$9=3,VLOOKUP(B36,Data!$AI$4:$AQ$85,6),VLOOKUP(B36,Data!$AI$4:$AQ$85,8)))))</f>
        <v>22.39</v>
      </c>
      <c r="D36" s="371">
        <f>IF(B36="","",IF($D$9=1,VLOOKUP(B36,Data!$AI$4:$AQ$85,3),IF($D$9=2,VLOOKUP(B36,Data!$AI$4:$AQ$85,5),IF($D$9=3,VLOOKUP(B36,Data!$AI$4:$AQ$85,7),VLOOKUP(B36,Data!$AI$4:$AQ$85,9)))))</f>
        <v>9.1199999999999992</v>
      </c>
      <c r="E36" s="413">
        <f t="shared" si="1"/>
        <v>5885.9400000000005</v>
      </c>
      <c r="F36" s="414"/>
      <c r="G36" s="374">
        <f>IF($D$9=1,IF(Data!AI63&lt;=28,Data!AI63,""),IF($D$9=2,IF(Data!AI63&lt;=42,Data!AI63,""),IF($D$9=3,IF(Data!AI63&lt;=66,Data!AI63,""),Data!AI63)))</f>
        <v>59</v>
      </c>
      <c r="H36" s="371">
        <f>IF(G36="","",IF($D$9=1,VLOOKUP(G36,Data!$AI$4:$AQ$85,2),IF($D$9=2,VLOOKUP(G36,Data!$AI$4:$AQ$85,4),IF($D$9=3,VLOOKUP(G36,Data!$AI$4:$AQ$85,6),VLOOKUP(G36,Data!$AI$4:$AQ$85,8)))))</f>
        <v>104.52</v>
      </c>
      <c r="I36" s="371">
        <f>IF(G36="","",IF($D$9=1,VLOOKUP(G36,Data!$AI$4:$AQ$85,3),IF($D$9=2,VLOOKUP(G36,Data!$AI$4:$AQ$85,5),IF($D$9=3,VLOOKUP(G36,Data!$AI$4:$AQ$85,7),VLOOKUP(G36,Data!$AI$4:$AQ$85,9)))))</f>
        <v>38.510000000000005</v>
      </c>
      <c r="J36" s="413">
        <f t="shared" si="0"/>
        <v>22197.953333333335</v>
      </c>
      <c r="K36" s="407"/>
    </row>
    <row r="37" spans="1:11" ht="15" customHeight="1">
      <c r="A37" s="418"/>
      <c r="B37" s="374">
        <f>IF($D$9=1,IF(Data!AI23&lt;=28,Data!AI23,""),IF($D$9=2,IF(Data!AI23&lt;=42,Data!AI23,""),IF($D$9=3,IF(Data!AI23&lt;=66,Data!AI23,""),Data!AI23)))</f>
        <v>19</v>
      </c>
      <c r="C37" s="371">
        <f>IF(B37="","",IF($D$9=1,VLOOKUP(B37,Data!$AI$4:$AQ$85,2),IF($D$9=2,VLOOKUP(B37,Data!$AI$4:$AQ$85,4),IF($D$9=3,VLOOKUP(B37,Data!$AI$4:$AQ$85,6),VLOOKUP(B37,Data!$AI$4:$AQ$85,8)))))</f>
        <v>24.76</v>
      </c>
      <c r="D37" s="371">
        <f>IF(B37="","",IF($D$9=1,VLOOKUP(B37,Data!$AI$4:$AQ$85,3),IF($D$9=2,VLOOKUP(B37,Data!$AI$4:$AQ$85,5),IF($D$9=3,VLOOKUP(B37,Data!$AI$4:$AQ$85,7),VLOOKUP(B37,Data!$AI$4:$AQ$85,9)))))</f>
        <v>10.11</v>
      </c>
      <c r="E37" s="413">
        <f t="shared" si="1"/>
        <v>6320.086666666667</v>
      </c>
      <c r="F37" s="414"/>
      <c r="G37" s="374">
        <f>IF($D$9=1,IF(Data!AI64&lt;=28,Data!AI64,""),IF($D$9=2,IF(Data!AI64&lt;=42,Data!AI64,""),IF($D$9=3,IF(Data!AI64&lt;=66,Data!AI64,""),Data!AI64)))</f>
        <v>60</v>
      </c>
      <c r="H37" s="371">
        <f>IF(G37="","",IF($D$9=1,VLOOKUP(G37,Data!$AI$4:$AQ$85,2),IF($D$9=2,VLOOKUP(G37,Data!$AI$4:$AQ$85,4),IF($D$9=3,VLOOKUP(G37,Data!$AI$4:$AQ$85,6),VLOOKUP(G37,Data!$AI$4:$AQ$85,8)))))</f>
        <v>105.67</v>
      </c>
      <c r="I37" s="371">
        <f>IF(G37="","",IF($D$9=1,VLOOKUP(G37,Data!$AI$4:$AQ$85,3),IF($D$9=2,VLOOKUP(G37,Data!$AI$4:$AQ$85,5),IF($D$9=3,VLOOKUP(G37,Data!$AI$4:$AQ$85,7),VLOOKUP(G37,Data!$AI$4:$AQ$85,9)))))</f>
        <v>38.750000000000007</v>
      </c>
      <c r="J37" s="413">
        <f t="shared" si="0"/>
        <v>22513.3</v>
      </c>
      <c r="K37" s="407"/>
    </row>
    <row r="38" spans="1:11" ht="15" customHeight="1">
      <c r="A38" s="418"/>
      <c r="B38" s="374">
        <f>IF($D$9=1,IF(Data!AI24&lt;=28,Data!AI24,""),IF($D$9=2,IF(Data!AI24&lt;=42,Data!AI24,""),IF($D$9=3,IF(Data!AI24&lt;=66,Data!AI24,""),Data!AI24)))</f>
        <v>20</v>
      </c>
      <c r="C38" s="371">
        <f>IF(B38="","",IF($D$9=1,VLOOKUP(B38,Data!$AI$4:$AQ$85,2),IF($D$9=2,VLOOKUP(B38,Data!$AI$4:$AQ$85,4),IF($D$9=3,VLOOKUP(B38,Data!$AI$4:$AQ$85,6),VLOOKUP(B38,Data!$AI$4:$AQ$85,8)))))</f>
        <v>27.12</v>
      </c>
      <c r="D38" s="371">
        <f>IF(B38="","",IF($D$9=1,VLOOKUP(B38,Data!$AI$4:$AQ$85,3),IF($D$9=2,VLOOKUP(B38,Data!$AI$4:$AQ$85,5),IF($D$9=3,VLOOKUP(B38,Data!$AI$4:$AQ$85,7),VLOOKUP(B38,Data!$AI$4:$AQ$85,9)))))</f>
        <v>11.1</v>
      </c>
      <c r="E38" s="413">
        <f t="shared" si="1"/>
        <v>6753.3333333333339</v>
      </c>
      <c r="F38" s="414"/>
      <c r="G38" s="374">
        <f>IF($D$9=1,IF(Data!AI65&lt;=28,Data!AI65,""),IF($D$9=2,IF(Data!AI65&lt;=42,Data!AI65,""),IF($D$9=3,IF(Data!AI65&lt;=66,Data!AI65,""),Data!AI65)))</f>
        <v>61</v>
      </c>
      <c r="H38" s="371">
        <f>IF(G38="","",IF($D$9=1,VLOOKUP(G38,Data!$AI$4:$AQ$85,2),IF($D$9=2,VLOOKUP(G38,Data!$AI$4:$AQ$85,4),IF($D$9=3,VLOOKUP(G38,Data!$AI$4:$AQ$85,6),VLOOKUP(G38,Data!$AI$4:$AQ$85,8)))))</f>
        <v>106.71</v>
      </c>
      <c r="I38" s="371">
        <f>IF(G38="","",IF($D$9=1,VLOOKUP(G38,Data!$AI$4:$AQ$85,3),IF($D$9=2,VLOOKUP(G38,Data!$AI$4:$AQ$85,5),IF($D$9=3,VLOOKUP(G38,Data!$AI$4:$AQ$85,7),VLOOKUP(G38,Data!$AI$4:$AQ$85,9)))))</f>
        <v>38.95000000000001</v>
      </c>
      <c r="J38" s="413">
        <f t="shared" si="0"/>
        <v>22818.266666666663</v>
      </c>
      <c r="K38" s="407"/>
    </row>
    <row r="39" spans="1:11" ht="15" customHeight="1">
      <c r="A39" s="405"/>
      <c r="B39" s="374">
        <f>IF($D$9=1,IF(Data!AI25&lt;=28,Data!AI25,""),IF($D$9=2,IF(Data!AI25&lt;=42,Data!AI25,""),IF($D$9=3,IF(Data!AI25&lt;=66,Data!AI25,""),Data!AI25)))</f>
        <v>21</v>
      </c>
      <c r="C39" s="371">
        <f>IF(B39="","",IF($D$9=1,VLOOKUP(B39,Data!$AI$4:$AQ$85,2),IF($D$9=2,VLOOKUP(B39,Data!$AI$4:$AQ$85,4),IF($D$9=3,VLOOKUP(B39,Data!$AI$4:$AQ$85,6),VLOOKUP(B39,Data!$AI$4:$AQ$85,8)))))</f>
        <v>29.47</v>
      </c>
      <c r="D39" s="371">
        <f>IF(B39="","",IF($D$9=1,VLOOKUP(B39,Data!$AI$4:$AQ$85,3),IF($D$9=2,VLOOKUP(B39,Data!$AI$4:$AQ$85,5),IF($D$9=3,VLOOKUP(B39,Data!$AI$4:$AQ$85,7),VLOOKUP(B39,Data!$AI$4:$AQ$85,9)))))</f>
        <v>12.08</v>
      </c>
      <c r="E39" s="413">
        <f t="shared" si="1"/>
        <v>7185.56</v>
      </c>
      <c r="F39" s="414"/>
      <c r="G39" s="374">
        <f>IF($D$9=1,IF(Data!AI66&lt;=28,Data!AI66,""),IF($D$9=2,IF(Data!AI66&lt;=42,Data!AI66,""),IF($D$9=3,IF(Data!AI66&lt;=66,Data!AI66,""),Data!AI66)))</f>
        <v>62</v>
      </c>
      <c r="H39" s="371">
        <f>IF(G39="","",IF($D$9=1,VLOOKUP(G39,Data!$AI$4:$AQ$85,2),IF($D$9=2,VLOOKUP(G39,Data!$AI$4:$AQ$85,4),IF($D$9=3,VLOOKUP(G39,Data!$AI$4:$AQ$85,6),VLOOKUP(G39,Data!$AI$4:$AQ$85,8)))))</f>
        <v>107.62</v>
      </c>
      <c r="I39" s="371">
        <f>IF(G39="","",IF($D$9=1,VLOOKUP(G39,Data!$AI$4:$AQ$85,3),IF($D$9=2,VLOOKUP(G39,Data!$AI$4:$AQ$85,5),IF($D$9=3,VLOOKUP(G39,Data!$AI$4:$AQ$85,7),VLOOKUP(G39,Data!$AI$4:$AQ$85,9)))))</f>
        <v>39.13000000000001</v>
      </c>
      <c r="J39" s="413">
        <f t="shared" si="0"/>
        <v>23111.293333333335</v>
      </c>
      <c r="K39" s="407"/>
    </row>
    <row r="40" spans="1:11" ht="15" customHeight="1">
      <c r="A40" s="405"/>
      <c r="B40" s="374">
        <f>IF($D$9=1,IF(Data!AI26&lt;=28,Data!AI26,""),IF($D$9=2,IF(Data!AI26&lt;=42,Data!AI26,""),IF($D$9=3,IF(Data!AI26&lt;=66,Data!AI26,""),Data!AI26)))</f>
        <v>22</v>
      </c>
      <c r="C40" s="371">
        <f>IF(B40="","",IF($D$9=1,VLOOKUP(B40,Data!$AI$4:$AQ$85,2),IF($D$9=2,VLOOKUP(B40,Data!$AI$4:$AQ$85,4),IF($D$9=3,VLOOKUP(B40,Data!$AI$4:$AQ$85,6),VLOOKUP(B40,Data!$AI$4:$AQ$85,8)))))</f>
        <v>31.8</v>
      </c>
      <c r="D40" s="371">
        <f>IF(B40="","",IF($D$9=1,VLOOKUP(B40,Data!$AI$4:$AQ$85,3),IF($D$9=2,VLOOKUP(B40,Data!$AI$4:$AQ$85,5),IF($D$9=3,VLOOKUP(B40,Data!$AI$4:$AQ$85,7),VLOOKUP(B40,Data!$AI$4:$AQ$85,9)))))</f>
        <v>13.05</v>
      </c>
      <c r="E40" s="413">
        <f t="shared" si="1"/>
        <v>7615.8666666666668</v>
      </c>
      <c r="F40" s="414"/>
      <c r="G40" s="374">
        <f>IF($D$9=1,IF(Data!AI67&lt;=28,Data!AI67,""),IF($D$9=2,IF(Data!AI67&lt;=42,Data!AI67,""),IF($D$9=3,IF(Data!AI67&lt;=66,Data!AI67,""),Data!AI67)))</f>
        <v>63</v>
      </c>
      <c r="H40" s="371">
        <f>IF(G40="","",IF($D$9=1,VLOOKUP(G40,Data!$AI$4:$AQ$85,2),IF($D$9=2,VLOOKUP(G40,Data!$AI$4:$AQ$85,4),IF($D$9=3,VLOOKUP(G40,Data!$AI$4:$AQ$85,6),VLOOKUP(G40,Data!$AI$4:$AQ$85,8)))))</f>
        <v>108.34</v>
      </c>
      <c r="I40" s="371">
        <f>IF(G40="","",IF($D$9=1,VLOOKUP(G40,Data!$AI$4:$AQ$85,3),IF($D$9=2,VLOOKUP(G40,Data!$AI$4:$AQ$85,5),IF($D$9=3,VLOOKUP(G40,Data!$AI$4:$AQ$85,7),VLOOKUP(G40,Data!$AI$4:$AQ$85,9)))))</f>
        <v>39.27000000000001</v>
      </c>
      <c r="J40" s="413">
        <f t="shared" si="0"/>
        <v>23386.74</v>
      </c>
      <c r="K40" s="407"/>
    </row>
    <row r="41" spans="1:11" ht="15" customHeight="1">
      <c r="A41" s="405"/>
      <c r="B41" s="374">
        <f>IF($D$9=1,IF(Data!AI27&lt;=28,Data!AI27,""),IF($D$9=2,IF(Data!AI27&lt;=42,Data!AI27,""),IF($D$9=3,IF(Data!AI27&lt;=66,Data!AI27,""),Data!AI27)))</f>
        <v>23</v>
      </c>
      <c r="C41" s="371">
        <f>IF(B41="","",IF($D$9=1,VLOOKUP(B41,Data!$AI$4:$AQ$85,2),IF($D$9=2,VLOOKUP(B41,Data!$AI$4:$AQ$85,4),IF($D$9=3,VLOOKUP(B41,Data!$AI$4:$AQ$85,6),VLOOKUP(B41,Data!$AI$4:$AQ$85,8)))))</f>
        <v>34.119999999999997</v>
      </c>
      <c r="D41" s="371">
        <f>IF(B41="","",IF($D$9=1,VLOOKUP(B41,Data!$AI$4:$AQ$85,3),IF($D$9=2,VLOOKUP(B41,Data!$AI$4:$AQ$85,5),IF($D$9=3,VLOOKUP(B41,Data!$AI$4:$AQ$85,7),VLOOKUP(B41,Data!$AI$4:$AQ$85,9)))))</f>
        <v>14.010000000000002</v>
      </c>
      <c r="E41" s="413">
        <f t="shared" si="1"/>
        <v>8045.1533333333336</v>
      </c>
      <c r="F41" s="414"/>
      <c r="G41" s="374">
        <f>IF($D$9=1,IF(Data!AI68&lt;=28,Data!AI68,""),IF($D$9=2,IF(Data!AI68&lt;=42,Data!AI68,""),IF($D$9=3,IF(Data!AI68&lt;=66,Data!AI68,""),Data!AI68)))</f>
        <v>64</v>
      </c>
      <c r="H41" s="371">
        <f>IF(G41="","",IF($D$9=1,VLOOKUP(G41,Data!$AI$4:$AQ$85,2),IF($D$9=2,VLOOKUP(G41,Data!$AI$4:$AQ$85,4),IF($D$9=3,VLOOKUP(G41,Data!$AI$4:$AQ$85,6),VLOOKUP(G41,Data!$AI$4:$AQ$85,8)))))</f>
        <v>108.8</v>
      </c>
      <c r="I41" s="371">
        <f>IF(G41="","",IF($D$9=1,VLOOKUP(G41,Data!$AI$4:$AQ$85,3),IF($D$9=2,VLOOKUP(G41,Data!$AI$4:$AQ$85,5),IF($D$9=3,VLOOKUP(G41,Data!$AI$4:$AQ$85,7),VLOOKUP(G41,Data!$AI$4:$AQ$85,9)))))</f>
        <v>39.38000000000001</v>
      </c>
      <c r="J41" s="413">
        <f t="shared" si="0"/>
        <v>23638.426666666666</v>
      </c>
      <c r="K41" s="407"/>
    </row>
    <row r="42" spans="1:11" ht="15" customHeight="1">
      <c r="A42" s="405"/>
      <c r="B42" s="374">
        <f>IF($D$9=1,IF(Data!AI28&lt;=28,Data!AI28,""),IF($D$9=2,IF(Data!AI28&lt;=42,Data!AI28,""),IF($D$9=3,IF(Data!AI28&lt;=66,Data!AI28,""),Data!AI28)))</f>
        <v>24</v>
      </c>
      <c r="C42" s="371">
        <f>IF(B42="","",IF($D$9=1,VLOOKUP(B42,Data!$AI$4:$AQ$85,2),IF($D$9=2,VLOOKUP(B42,Data!$AI$4:$AQ$85,4),IF($D$9=3,VLOOKUP(B42,Data!$AI$4:$AQ$85,6),VLOOKUP(B42,Data!$AI$4:$AQ$85,8)))))</f>
        <v>36.43</v>
      </c>
      <c r="D42" s="371">
        <f>IF(B42="","",IF($D$9=1,VLOOKUP(B42,Data!$AI$4:$AQ$85,3),IF($D$9=2,VLOOKUP(B42,Data!$AI$4:$AQ$85,5),IF($D$9=3,VLOOKUP(B42,Data!$AI$4:$AQ$85,7),VLOOKUP(B42,Data!$AI$4:$AQ$85,9)))))</f>
        <v>14.96</v>
      </c>
      <c r="E42" s="413">
        <f t="shared" si="1"/>
        <v>8473.42</v>
      </c>
      <c r="F42" s="414"/>
      <c r="G42" s="374">
        <f>IF($D$9=1,IF(Data!AI69&lt;=28,Data!AI69,""),IF($D$9=2,IF(Data!AI69&lt;=42,Data!AI69,""),IF($D$9=3,IF(Data!AI69&lt;=66,Data!AI69,""),Data!AI69)))</f>
        <v>65</v>
      </c>
      <c r="H42" s="371">
        <f>IF(G42="","",IF($D$9=1,VLOOKUP(G42,Data!$AI$4:$AQ$85,2),IF($D$9=2,VLOOKUP(G42,Data!$AI$4:$AQ$85,4),IF($D$9=3,VLOOKUP(G42,Data!$AI$4:$AQ$85,6),VLOOKUP(G42,Data!$AI$4:$AQ$85,8)))))</f>
        <v>109.15</v>
      </c>
      <c r="I42" s="371">
        <f>IF(G42="","",IF($D$9=1,VLOOKUP(G42,Data!$AI$4:$AQ$85,3),IF($D$9=2,VLOOKUP(G42,Data!$AI$4:$AQ$85,5),IF($D$9=3,VLOOKUP(G42,Data!$AI$4:$AQ$85,7),VLOOKUP(G42,Data!$AI$4:$AQ$85,9)))))</f>
        <v>39.470000000000013</v>
      </c>
      <c r="J42" s="413">
        <f t="shared" ref="J42:J58" si="2">IF(G42="","",0.4*(G42/12*$I$12-($D$12*H42+$I$9*I42))+$D$12*H42+$I$9*I42)</f>
        <v>23879.973333333335</v>
      </c>
      <c r="K42" s="407"/>
    </row>
    <row r="43" spans="1:11" ht="15" customHeight="1">
      <c r="A43" s="405"/>
      <c r="B43" s="374">
        <f>IF($D$9=1,IF(Data!AI29&lt;=28,Data!AI29,""),IF($D$9=2,IF(Data!AI29&lt;=42,Data!AI29,""),IF($D$9=3,IF(Data!AI29&lt;=66,Data!AI29,""),Data!AI29)))</f>
        <v>25</v>
      </c>
      <c r="C43" s="371">
        <f>IF(B43="","",IF($D$9=1,VLOOKUP(B43,Data!$AI$4:$AQ$85,2),IF($D$9=2,VLOOKUP(B43,Data!$AI$4:$AQ$85,4),IF($D$9=3,VLOOKUP(B43,Data!$AI$4:$AQ$85,6),VLOOKUP(B43,Data!$AI$4:$AQ$85,8)))))</f>
        <v>38.299999999999997</v>
      </c>
      <c r="D43" s="371">
        <f>IF(B43="","",IF($D$9=1,VLOOKUP(B43,Data!$AI$4:$AQ$85,3),IF($D$9=2,VLOOKUP(B43,Data!$AI$4:$AQ$85,5),IF($D$9=3,VLOOKUP(B43,Data!$AI$4:$AQ$85,7),VLOOKUP(B43,Data!$AI$4:$AQ$85,9)))))</f>
        <v>15.9</v>
      </c>
      <c r="E43" s="413">
        <f t="shared" si="1"/>
        <v>8861.9666666666672</v>
      </c>
      <c r="F43" s="414"/>
      <c r="G43" s="374">
        <f>IF($D$9=1,IF(Data!AI70&lt;=28,Data!AI70,""),IF($D$9=2,IF(Data!AI70&lt;=42,Data!AI70,""),IF($D$9=3,IF(Data!AI70&lt;=66,Data!AI70,""),Data!AI70)))</f>
        <v>66</v>
      </c>
      <c r="H43" s="371">
        <f>IF(G43="","",IF($D$9=1,VLOOKUP(G43,Data!$AI$4:$AQ$85,2),IF($D$9=2,VLOOKUP(G43,Data!$AI$4:$AQ$85,4),IF($D$9=3,VLOOKUP(G43,Data!$AI$4:$AQ$85,6),VLOOKUP(G43,Data!$AI$4:$AQ$85,8)))))</f>
        <v>109.42</v>
      </c>
      <c r="I43" s="371">
        <f>IF(G43="","",IF($D$9=1,VLOOKUP(G43,Data!$AI$4:$AQ$85,3),IF($D$9=2,VLOOKUP(G43,Data!$AI$4:$AQ$85,5),IF($D$9=3,VLOOKUP(G43,Data!$AI$4:$AQ$85,7),VLOOKUP(G43,Data!$AI$4:$AQ$85,9)))))</f>
        <v>39.540000000000013</v>
      </c>
      <c r="J43" s="413">
        <f t="shared" si="2"/>
        <v>24114.079999999998</v>
      </c>
      <c r="K43" s="407"/>
    </row>
    <row r="44" spans="1:11" ht="15" customHeight="1">
      <c r="A44" s="405"/>
      <c r="B44" s="374">
        <f>IF($D$9=1,IF(Data!AI30&lt;=28,Data!AI30,""),IF($D$9=2,IF(Data!AI30&lt;=42,Data!AI30,""),IF($D$9=3,IF(Data!AI30&lt;=66,Data!AI30,""),Data!AI30)))</f>
        <v>26</v>
      </c>
      <c r="C44" s="371">
        <f>IF(B44="","",IF($D$9=1,VLOOKUP(B44,Data!$AI$4:$AQ$85,2),IF($D$9=2,VLOOKUP(B44,Data!$AI$4:$AQ$85,4),IF($D$9=3,VLOOKUP(B44,Data!$AI$4:$AQ$85,6),VLOOKUP(B44,Data!$AI$4:$AQ$85,8)))))</f>
        <v>41.02</v>
      </c>
      <c r="D44" s="371">
        <f>IF(B44="","",IF($D$9=1,VLOOKUP(B44,Data!$AI$4:$AQ$85,3),IF($D$9=2,VLOOKUP(B44,Data!$AI$4:$AQ$85,5),IF($D$9=3,VLOOKUP(B44,Data!$AI$4:$AQ$85,7),VLOOKUP(B44,Data!$AI$4:$AQ$85,9)))))</f>
        <v>16.830000000000002</v>
      </c>
      <c r="E44" s="413">
        <f t="shared" si="1"/>
        <v>9326.8933333333334</v>
      </c>
      <c r="F44" s="414"/>
      <c r="G44" s="374">
        <f>IF($D$9=1,IF(Data!AI71&lt;=28,Data!AI71,""),IF($D$9=2,IF(Data!AI71&lt;=42,Data!AI71,""),IF($D$9=3,IF(Data!AI71&lt;=66,Data!AI71,""),Data!AI71)))</f>
        <v>67</v>
      </c>
      <c r="H44" s="371">
        <f>IF(G44="","",IF($D$9=1,VLOOKUP(G44,Data!$AI$4:$AQ$85,2),IF($D$9=2,VLOOKUP(G44,Data!$AI$4:$AQ$85,4),IF($D$9=3,VLOOKUP(G44,Data!$AI$4:$AQ$85,6),VLOOKUP(G44,Data!$AI$4:$AQ$85,8)))))</f>
        <v>109.6</v>
      </c>
      <c r="I44" s="371">
        <f>IF(G44="","",IF($D$9=1,VLOOKUP(G44,Data!$AI$4:$AQ$85,3),IF($D$9=2,VLOOKUP(G44,Data!$AI$4:$AQ$85,5),IF($D$9=3,VLOOKUP(G44,Data!$AI$4:$AQ$85,7),VLOOKUP(G44,Data!$AI$4:$AQ$85,9)))))</f>
        <v>39.580000000000013</v>
      </c>
      <c r="J44" s="413">
        <f t="shared" si="2"/>
        <v>24339.726666666666</v>
      </c>
      <c r="K44" s="407"/>
    </row>
    <row r="45" spans="1:11" ht="15" customHeight="1">
      <c r="A45" s="405"/>
      <c r="B45" s="374">
        <f>IF($D$9=1,IF(Data!AI31&lt;=28,Data!AI31,""),IF($D$9=2,IF(Data!AI31&lt;=42,Data!AI31,""),IF($D$9=3,IF(Data!AI31&lt;=66,Data!AI31,""),Data!AI31)))</f>
        <v>27</v>
      </c>
      <c r="C45" s="371">
        <f>IF(B45="","",IF($D$9=1,VLOOKUP(B45,Data!$AI$4:$AQ$85,2),IF($D$9=2,VLOOKUP(B45,Data!$AI$4:$AQ$85,4),IF($D$9=3,VLOOKUP(B45,Data!$AI$4:$AQ$85,6),VLOOKUP(B45,Data!$AI$4:$AQ$85,8)))))</f>
        <v>43.3</v>
      </c>
      <c r="D45" s="371">
        <f>IF(B45="","",IF($D$9=1,VLOOKUP(B45,Data!$AI$4:$AQ$85,3),IF($D$9=2,VLOOKUP(B45,Data!$AI$4:$AQ$85,5),IF($D$9=3,VLOOKUP(B45,Data!$AI$4:$AQ$85,7),VLOOKUP(B45,Data!$AI$4:$AQ$85,9)))))</f>
        <v>17.750000000000004</v>
      </c>
      <c r="E45" s="413">
        <f t="shared" si="1"/>
        <v>9752.1</v>
      </c>
      <c r="F45" s="414"/>
      <c r="G45" s="374">
        <f>IF($D$9=1,IF(Data!AI72&lt;=28,Data!AI72,""),IF($D$9=2,IF(Data!AI72&lt;=42,Data!AI72,""),IF($D$9=3,IF(Data!AI72&lt;=66,Data!AI72,""),Data!AI72)))</f>
        <v>68</v>
      </c>
      <c r="H45" s="371">
        <f>IF(G45="","",IF($D$9=1,VLOOKUP(G45,Data!$AI$4:$AQ$85,2),IF($D$9=2,VLOOKUP(G45,Data!$AI$4:$AQ$85,4),IF($D$9=3,VLOOKUP(G45,Data!$AI$4:$AQ$85,6),VLOOKUP(G45,Data!$AI$4:$AQ$85,8)))))</f>
        <v>109.67</v>
      </c>
      <c r="I45" s="371">
        <f>IF(G45="","",IF($D$9=1,VLOOKUP(G45,Data!$AI$4:$AQ$85,3),IF($D$9=2,VLOOKUP(G45,Data!$AI$4:$AQ$85,5),IF($D$9=3,VLOOKUP(G45,Data!$AI$4:$AQ$85,7),VLOOKUP(G45,Data!$AI$4:$AQ$85,9)))))</f>
        <v>39.600000000000016</v>
      </c>
      <c r="J45" s="413">
        <f t="shared" si="2"/>
        <v>24555.233333333334</v>
      </c>
      <c r="K45" s="407"/>
    </row>
    <row r="46" spans="1:11" ht="15" customHeight="1">
      <c r="A46" s="405"/>
      <c r="B46" s="374">
        <f>IF($D$9=1,IF(Data!AI32&lt;=28,Data!AI32,""),IF($D$9=2,IF(Data!AI32&lt;=42,Data!AI32,""),IF($D$9=3,IF(Data!AI32&lt;=66,Data!AI32,""),Data!AI32)))</f>
        <v>28</v>
      </c>
      <c r="C46" s="371">
        <f>IF(B46="","",IF($D$9=1,VLOOKUP(B46,Data!$AI$4:$AQ$85,2),IF($D$9=2,VLOOKUP(B46,Data!$AI$4:$AQ$85,4),IF($D$9=3,VLOOKUP(B46,Data!$AI$4:$AQ$85,6),VLOOKUP(B46,Data!$AI$4:$AQ$85,8)))))</f>
        <v>45.56</v>
      </c>
      <c r="D46" s="371">
        <f>IF(B46="","",IF($D$9=1,VLOOKUP(B46,Data!$AI$4:$AQ$85,3),IF($D$9=2,VLOOKUP(B46,Data!$AI$4:$AQ$85,5),IF($D$9=3,VLOOKUP(B46,Data!$AI$4:$AQ$85,7),VLOOKUP(B46,Data!$AI$4:$AQ$85,9)))))</f>
        <v>18.660000000000004</v>
      </c>
      <c r="E46" s="413">
        <f t="shared" si="1"/>
        <v>10175.386666666669</v>
      </c>
      <c r="F46" s="414"/>
      <c r="G46" s="374">
        <f>IF($D$9=1,IF(Data!AI73&lt;=28,Data!AI73,""),IF($D$9=2,IF(Data!AI73&lt;=42,Data!AI73,""),IF($D$9=3,IF(Data!AI73&lt;=66,Data!AI73,""),Data!AI73)))</f>
        <v>69</v>
      </c>
      <c r="H46" s="371">
        <f>IF(G46="","",IF($D$9=1,VLOOKUP(G46,Data!$AI$4:$AQ$85,2),IF($D$9=2,VLOOKUP(G46,Data!$AI$4:$AQ$85,4),IF($D$9=3,VLOOKUP(G46,Data!$AI$4:$AQ$85,6),VLOOKUP(G46,Data!$AI$4:$AQ$85,8)))))</f>
        <v>109.67</v>
      </c>
      <c r="I46" s="371">
        <f>IF(G46="","",IF($D$9=1,VLOOKUP(G46,Data!$AI$4:$AQ$85,3),IF($D$9=2,VLOOKUP(G46,Data!$AI$4:$AQ$85,5),IF($D$9=3,VLOOKUP(G46,Data!$AI$4:$AQ$85,7),VLOOKUP(G46,Data!$AI$4:$AQ$85,9)))))</f>
        <v>39.600000000000016</v>
      </c>
      <c r="J46" s="413">
        <f t="shared" si="2"/>
        <v>24764.2</v>
      </c>
      <c r="K46" s="407"/>
    </row>
    <row r="47" spans="1:11" ht="15" customHeight="1">
      <c r="A47" s="405"/>
      <c r="B47" s="374">
        <f>IF($D$9=1,IF(Data!AI33&lt;=28,Data!AI33,""),IF($D$9=2,IF(Data!AI33&lt;=42,Data!AI33,""),IF($D$9=3,IF(Data!AI33&lt;=66,Data!AI33,""),Data!AI33)))</f>
        <v>29</v>
      </c>
      <c r="C47" s="371">
        <f>IF(B47="","",IF($D$9=1,VLOOKUP(B47,Data!$AI$4:$AQ$85,2),IF($D$9=2,VLOOKUP(B47,Data!$AI$4:$AQ$85,4),IF($D$9=3,VLOOKUP(B47,Data!$AI$4:$AQ$85,6),VLOOKUP(B47,Data!$AI$4:$AQ$85,8)))))</f>
        <v>47.81</v>
      </c>
      <c r="D47" s="371">
        <f>IF(B47="","",IF($D$9=1,VLOOKUP(B47,Data!$AI$4:$AQ$85,3),IF($D$9=2,VLOOKUP(B47,Data!$AI$4:$AQ$85,5),IF($D$9=3,VLOOKUP(B47,Data!$AI$4:$AQ$85,7),VLOOKUP(B47,Data!$AI$4:$AQ$85,9)))))</f>
        <v>19.560000000000002</v>
      </c>
      <c r="E47" s="413">
        <f t="shared" si="1"/>
        <v>10597.653333333334</v>
      </c>
      <c r="F47" s="414"/>
      <c r="G47" s="374">
        <f>IF($D$9=1,IF(Data!AI74&lt;=28,Data!AI74,""),IF($D$9=2,IF(Data!AI74&lt;=42,Data!AI74,""),IF($D$9=3,IF(Data!AI74&lt;=66,Data!AI74,""),Data!AI74)))</f>
        <v>70</v>
      </c>
      <c r="H47" s="371">
        <f>IF(G47="","",IF($D$9=1,VLOOKUP(G47,Data!$AI$4:$AQ$85,2),IF($D$9=2,VLOOKUP(G47,Data!$AI$4:$AQ$85,4),IF($D$9=3,VLOOKUP(G47,Data!$AI$4:$AQ$85,6),VLOOKUP(G47,Data!$AI$4:$AQ$85,8)))))</f>
        <v>109.67</v>
      </c>
      <c r="I47" s="371">
        <f>IF(G47="","",IF($D$9=1,VLOOKUP(G47,Data!$AI$4:$AQ$85,3),IF($D$9=2,VLOOKUP(G47,Data!$AI$4:$AQ$85,5),IF($D$9=3,VLOOKUP(G47,Data!$AI$4:$AQ$85,7),VLOOKUP(G47,Data!$AI$4:$AQ$85,9)))))</f>
        <v>39.600000000000016</v>
      </c>
      <c r="J47" s="413">
        <f t="shared" si="2"/>
        <v>24973.166666666664</v>
      </c>
      <c r="K47" s="407"/>
    </row>
    <row r="48" spans="1:11" ht="15" customHeight="1">
      <c r="A48" s="405"/>
      <c r="B48" s="374">
        <f>IF($D$9=1,IF(Data!AI34&lt;=28,Data!AI34,""),IF($D$9=2,IF(Data!AI34&lt;=42,Data!AI34,""),IF($D$9=3,IF(Data!AI34&lt;=66,Data!AI34,""),Data!AI34)))</f>
        <v>30</v>
      </c>
      <c r="C48" s="371">
        <f>IF(B48="","",IF($D$9=1,VLOOKUP(B48,Data!$AI$4:$AQ$85,2),IF($D$9=2,VLOOKUP(B48,Data!$AI$4:$AQ$85,4),IF($D$9=3,VLOOKUP(B48,Data!$AI$4:$AQ$85,6),VLOOKUP(B48,Data!$AI$4:$AQ$85,8)))))</f>
        <v>50.05</v>
      </c>
      <c r="D48" s="371">
        <f>IF(B48="","",IF($D$9=1,VLOOKUP(B48,Data!$AI$4:$AQ$85,3),IF($D$9=2,VLOOKUP(B48,Data!$AI$4:$AQ$85,5),IF($D$9=3,VLOOKUP(B48,Data!$AI$4:$AQ$85,7),VLOOKUP(B48,Data!$AI$4:$AQ$85,9)))))</f>
        <v>20.450000000000003</v>
      </c>
      <c r="E48" s="413">
        <f t="shared" si="1"/>
        <v>11018.9</v>
      </c>
      <c r="F48" s="414"/>
      <c r="G48" s="374">
        <f>IF($D$9=1,IF(Data!AI75&lt;=28,Data!AI75,""),IF($D$9=2,IF(Data!AI75&lt;=42,Data!AI75,""),IF($D$9=3,IF(Data!AI75&lt;=66,Data!AI75,""),Data!AI75)))</f>
        <v>71</v>
      </c>
      <c r="H48" s="371">
        <f>IF(G48="","",IF($D$9=1,VLOOKUP(G48,Data!$AI$4:$AQ$85,2),IF($D$9=2,VLOOKUP(G48,Data!$AI$4:$AQ$85,4),IF($D$9=3,VLOOKUP(G48,Data!$AI$4:$AQ$85,6),VLOOKUP(G48,Data!$AI$4:$AQ$85,8)))))</f>
        <v>109.67</v>
      </c>
      <c r="I48" s="371">
        <f>IF(G48="","",IF($D$9=1,VLOOKUP(G48,Data!$AI$4:$AQ$85,3),IF($D$9=2,VLOOKUP(G48,Data!$AI$4:$AQ$85,5),IF($D$9=3,VLOOKUP(G48,Data!$AI$4:$AQ$85,7),VLOOKUP(G48,Data!$AI$4:$AQ$85,9)))))</f>
        <v>39.600000000000016</v>
      </c>
      <c r="J48" s="413">
        <f t="shared" si="2"/>
        <v>25182.133333333335</v>
      </c>
      <c r="K48" s="407"/>
    </row>
    <row r="49" spans="1:11" ht="15" customHeight="1">
      <c r="A49" s="405"/>
      <c r="B49" s="374">
        <f>IF($D$9=1,IF(Data!AI35&lt;=28,Data!AI35,""),IF($D$9=2,IF(Data!AI35&lt;=42,Data!AI35,""),IF($D$9=3,IF(Data!AI35&lt;=66,Data!AI35,""),Data!AI35)))</f>
        <v>31</v>
      </c>
      <c r="C49" s="371">
        <f>IF(B49="","",IF($D$9=1,VLOOKUP(B49,Data!$AI$4:$AQ$85,2),IF($D$9=2,VLOOKUP(B49,Data!$AI$4:$AQ$85,4),IF($D$9=3,VLOOKUP(B49,Data!$AI$4:$AQ$85,6),VLOOKUP(B49,Data!$AI$4:$AQ$85,8)))))</f>
        <v>52.28</v>
      </c>
      <c r="D49" s="371">
        <f>IF(B49="","",IF($D$9=1,VLOOKUP(B49,Data!$AI$4:$AQ$85,3),IF($D$9=2,VLOOKUP(B49,Data!$AI$4:$AQ$85,5),IF($D$9=3,VLOOKUP(B49,Data!$AI$4:$AQ$85,7),VLOOKUP(B49,Data!$AI$4:$AQ$85,9)))))</f>
        <v>21.330000000000002</v>
      </c>
      <c r="E49" s="413">
        <f t="shared" si="1"/>
        <v>11439.126666666667</v>
      </c>
      <c r="F49" s="414"/>
      <c r="G49" s="374">
        <f>IF($D$9=1,IF(Data!AI76&lt;=28,Data!AI76,""),IF($D$9=2,IF(Data!AI76&lt;=42,Data!AI76,""),IF($D$9=3,IF(Data!AI76&lt;=66,Data!AI76,""),Data!AI76)))</f>
        <v>72</v>
      </c>
      <c r="H49" s="371">
        <f>IF(G49="","",IF($D$9=1,VLOOKUP(G49,Data!$AI$4:$AQ$85,2),IF($D$9=2,VLOOKUP(G49,Data!$AI$4:$AQ$85,4),IF($D$9=3,VLOOKUP(G49,Data!$AI$4:$AQ$85,6),VLOOKUP(G49,Data!$AI$4:$AQ$85,8)))))</f>
        <v>109.67</v>
      </c>
      <c r="I49" s="371">
        <f>IF(G49="","",IF($D$9=1,VLOOKUP(G49,Data!$AI$4:$AQ$85,3),IF($D$9=2,VLOOKUP(G49,Data!$AI$4:$AQ$85,5),IF($D$9=3,VLOOKUP(G49,Data!$AI$4:$AQ$85,7),VLOOKUP(G49,Data!$AI$4:$AQ$85,9)))))</f>
        <v>39.600000000000016</v>
      </c>
      <c r="J49" s="413">
        <f t="shared" si="2"/>
        <v>25391.1</v>
      </c>
      <c r="K49" s="407"/>
    </row>
    <row r="50" spans="1:11" ht="15" customHeight="1">
      <c r="A50" s="405"/>
      <c r="B50" s="374">
        <f>IF($D$9=1,IF(Data!AI36&lt;=28,Data!AI36,""),IF($D$9=2,IF(Data!AI36&lt;=42,Data!AI36,""),IF($D$9=3,IF(Data!AI36&lt;=66,Data!AI36,""),Data!AI36)))</f>
        <v>32</v>
      </c>
      <c r="C50" s="371">
        <f>IF(B50="","",IF($D$9=1,VLOOKUP(B50,Data!$AI$4:$AQ$85,2),IF($D$9=2,VLOOKUP(B50,Data!$AI$4:$AQ$85,4),IF($D$9=3,VLOOKUP(B50,Data!$AI$4:$AQ$85,6),VLOOKUP(B50,Data!$AI$4:$AQ$85,8)))))</f>
        <v>54.49</v>
      </c>
      <c r="D50" s="371">
        <f>IF(B50="","",IF($D$9=1,VLOOKUP(B50,Data!$AI$4:$AQ$85,3),IF($D$9=2,VLOOKUP(B50,Data!$AI$4:$AQ$85,5),IF($D$9=3,VLOOKUP(B50,Data!$AI$4:$AQ$85,7),VLOOKUP(B50,Data!$AI$4:$AQ$85,9)))))</f>
        <v>22.200000000000003</v>
      </c>
      <c r="E50" s="413">
        <f t="shared" si="1"/>
        <v>11857.433333333332</v>
      </c>
      <c r="F50" s="414"/>
      <c r="G50" s="374">
        <f>IF($D$9=1,IF(Data!AI77&lt;=28,Data!AI77,""),IF($D$9=2,IF(Data!AI77&lt;=42,Data!AI77,""),IF($D$9=3,IF(Data!AI77&lt;=66,Data!AI77,""),Data!AI77)))</f>
        <v>73</v>
      </c>
      <c r="H50" s="371">
        <f>IF(G50="","",IF($D$9=1,VLOOKUP(G50,Data!$AI$4:$AQ$85,2),IF($D$9=2,VLOOKUP(G50,Data!$AI$4:$AQ$85,4),IF($D$9=3,VLOOKUP(G50,Data!$AI$4:$AQ$85,6),VLOOKUP(G50,Data!$AI$4:$AQ$85,8)))))</f>
        <v>109.67</v>
      </c>
      <c r="I50" s="371">
        <f>IF(G50="","",IF($D$9=1,VLOOKUP(G50,Data!$AI$4:$AQ$85,3),IF($D$9=2,VLOOKUP(G50,Data!$AI$4:$AQ$85,5),IF($D$9=3,VLOOKUP(G50,Data!$AI$4:$AQ$85,7),VLOOKUP(G50,Data!$AI$4:$AQ$85,9)))))</f>
        <v>39.600000000000016</v>
      </c>
      <c r="J50" s="413">
        <f t="shared" si="2"/>
        <v>25600.066666666666</v>
      </c>
      <c r="K50" s="407"/>
    </row>
    <row r="51" spans="1:11" ht="15" customHeight="1">
      <c r="A51" s="405"/>
      <c r="B51" s="374">
        <f>IF($D$9=1,IF(Data!AI37&lt;=28,Data!AI37,""),IF($D$9=2,IF(Data!AI37&lt;=42,Data!AI37,""),IF($D$9=3,IF(Data!AI37&lt;=66,Data!AI37,""),Data!AI37)))</f>
        <v>33</v>
      </c>
      <c r="C51" s="371">
        <f>IF(B51="","",IF($D$9=1,VLOOKUP(B51,Data!$AI$4:$AQ$85,2),IF($D$9=2,VLOOKUP(B51,Data!$AI$4:$AQ$85,4),IF($D$9=3,VLOOKUP(B51,Data!$AI$4:$AQ$85,6),VLOOKUP(B51,Data!$AI$4:$AQ$85,8)))))</f>
        <v>56.69</v>
      </c>
      <c r="D51" s="371">
        <f>IF(B51="","",IF($D$9=1,VLOOKUP(B51,Data!$AI$4:$AQ$85,3),IF($D$9=2,VLOOKUP(B51,Data!$AI$4:$AQ$85,5),IF($D$9=3,VLOOKUP(B51,Data!$AI$4:$AQ$85,7),VLOOKUP(B51,Data!$AI$4:$AQ$85,9)))))</f>
        <v>23.050000000000004</v>
      </c>
      <c r="E51" s="413">
        <f t="shared" si="1"/>
        <v>12274.6</v>
      </c>
      <c r="F51" s="414"/>
      <c r="G51" s="374">
        <f>IF($D$9=1,IF(Data!AI78&lt;=28,Data!AI78,""),IF($D$9=2,IF(Data!AI78&lt;=42,Data!AI78,""),IF($D$9=3,IF(Data!AI78&lt;=66,Data!AI78,""),Data!AI78)))</f>
        <v>74</v>
      </c>
      <c r="H51" s="371">
        <f>IF(G51="","",IF($D$9=1,VLOOKUP(G51,Data!$AI$4:$AQ$85,2),IF($D$9=2,VLOOKUP(G51,Data!$AI$4:$AQ$85,4),IF($D$9=3,VLOOKUP(G51,Data!$AI$4:$AQ$85,6),VLOOKUP(G51,Data!$AI$4:$AQ$85,8)))))</f>
        <v>109.67</v>
      </c>
      <c r="I51" s="371">
        <f>IF(G51="","",IF($D$9=1,VLOOKUP(G51,Data!$AI$4:$AQ$85,3),IF($D$9=2,VLOOKUP(G51,Data!$AI$4:$AQ$85,5),IF($D$9=3,VLOOKUP(G51,Data!$AI$4:$AQ$85,7),VLOOKUP(G51,Data!$AI$4:$AQ$85,9)))))</f>
        <v>39.600000000000016</v>
      </c>
      <c r="J51" s="413">
        <f t="shared" si="2"/>
        <v>25809.033333333333</v>
      </c>
      <c r="K51" s="407"/>
    </row>
    <row r="52" spans="1:11" ht="15" customHeight="1">
      <c r="A52" s="405"/>
      <c r="B52" s="374">
        <f>IF($D$9=1,IF(Data!AI38&lt;=28,Data!AI38,""),IF($D$9=2,IF(Data!AI38&lt;=42,Data!AI38,""),IF($D$9=3,IF(Data!AI38&lt;=66,Data!AI38,""),Data!AI38)))</f>
        <v>34</v>
      </c>
      <c r="C52" s="371">
        <f>IF(B52="","",IF($D$9=1,VLOOKUP(B52,Data!$AI$4:$AQ$85,2),IF($D$9=2,VLOOKUP(B52,Data!$AI$4:$AQ$85,4),IF($D$9=3,VLOOKUP(B52,Data!$AI$4:$AQ$85,6),VLOOKUP(B52,Data!$AI$4:$AQ$85,8)))))</f>
        <v>58.88</v>
      </c>
      <c r="D52" s="371">
        <f>IF(B52="","",IF($D$9=1,VLOOKUP(B52,Data!$AI$4:$AQ$85,3),IF($D$9=2,VLOOKUP(B52,Data!$AI$4:$AQ$85,5),IF($D$9=3,VLOOKUP(B52,Data!$AI$4:$AQ$85,7),VLOOKUP(B52,Data!$AI$4:$AQ$85,9)))))</f>
        <v>23.890000000000004</v>
      </c>
      <c r="E52" s="413">
        <f t="shared" si="1"/>
        <v>12690.746666666666</v>
      </c>
      <c r="F52" s="414"/>
      <c r="G52" s="374">
        <f>IF($D$9=1,IF(Data!AI79&lt;=28,Data!AI79,""),IF($D$9=2,IF(Data!AI79&lt;=42,Data!AI79,""),IF($D$9=3,IF(Data!AI79&lt;=66,Data!AI79,""),Data!AI79)))</f>
        <v>75</v>
      </c>
      <c r="H52" s="371">
        <f>IF(G52="","",IF($D$9=1,VLOOKUP(G52,Data!$AI$4:$AQ$85,2),IF($D$9=2,VLOOKUP(G52,Data!$AI$4:$AQ$85,4),IF($D$9=3,VLOOKUP(G52,Data!$AI$4:$AQ$85,6),VLOOKUP(G52,Data!$AI$4:$AQ$85,8)))))</f>
        <v>109.67</v>
      </c>
      <c r="I52" s="371">
        <f>IF(G52="","",IF($D$9=1,VLOOKUP(G52,Data!$AI$4:$AQ$85,3),IF($D$9=2,VLOOKUP(G52,Data!$AI$4:$AQ$85,5),IF($D$9=3,VLOOKUP(G52,Data!$AI$4:$AQ$85,7),VLOOKUP(G52,Data!$AI$4:$AQ$85,9)))))</f>
        <v>39.600000000000016</v>
      </c>
      <c r="J52" s="413">
        <f t="shared" si="2"/>
        <v>26018</v>
      </c>
      <c r="K52" s="407"/>
    </row>
    <row r="53" spans="1:11" ht="15" customHeight="1">
      <c r="A53" s="405"/>
      <c r="B53" s="374">
        <f>IF($D$9=1,IF(Data!AI39&lt;=28,Data!AI39,""),IF($D$9=2,IF(Data!AI39&lt;=42,Data!AI39,""),IF($D$9=3,IF(Data!AI39&lt;=66,Data!AI39,""),Data!AI39)))</f>
        <v>35</v>
      </c>
      <c r="C53" s="371">
        <f>IF(B53="","",IF($D$9=1,VLOOKUP(B53,Data!$AI$4:$AQ$85,2),IF($D$9=2,VLOOKUP(B53,Data!$AI$4:$AQ$85,4),IF($D$9=3,VLOOKUP(B53,Data!$AI$4:$AQ$85,6),VLOOKUP(B53,Data!$AI$4:$AQ$85,8)))))</f>
        <v>61.05</v>
      </c>
      <c r="D53" s="371">
        <f>IF(B53="","",IF($D$9=1,VLOOKUP(B53,Data!$AI$4:$AQ$85,3),IF($D$9=2,VLOOKUP(B53,Data!$AI$4:$AQ$85,5),IF($D$9=3,VLOOKUP(B53,Data!$AI$4:$AQ$85,7),VLOOKUP(B53,Data!$AI$4:$AQ$85,9)))))</f>
        <v>24.720000000000002</v>
      </c>
      <c r="E53" s="413">
        <f t="shared" si="1"/>
        <v>13104.973333333333</v>
      </c>
      <c r="F53" s="414"/>
      <c r="G53" s="374">
        <f>IF($D$9=1,IF(Data!AI80&lt;=28,Data!AI80,""),IF($D$9=2,IF(Data!AI80&lt;=42,Data!AI80,""),IF($D$9=3,IF(Data!AI80&lt;=66,Data!AI80,""),Data!AI80)))</f>
        <v>76</v>
      </c>
      <c r="H53" s="371">
        <f>IF(G53="","",IF($D$9=1,VLOOKUP(G53,Data!$AI$4:$AQ$85,2),IF($D$9=2,VLOOKUP(G53,Data!$AI$4:$AQ$85,4),IF($D$9=3,VLOOKUP(G53,Data!$AI$4:$AQ$85,6),VLOOKUP(G53,Data!$AI$4:$AQ$85,8)))))</f>
        <v>109.67</v>
      </c>
      <c r="I53" s="371">
        <f>IF(G53="","",IF($D$9=1,VLOOKUP(G53,Data!$AI$4:$AQ$85,3),IF($D$9=2,VLOOKUP(G53,Data!$AI$4:$AQ$85,5),IF($D$9=3,VLOOKUP(G53,Data!$AI$4:$AQ$85,7),VLOOKUP(G53,Data!$AI$4:$AQ$85,9)))))</f>
        <v>39.600000000000016</v>
      </c>
      <c r="J53" s="413">
        <f t="shared" si="2"/>
        <v>26226.966666666667</v>
      </c>
      <c r="K53" s="407"/>
    </row>
    <row r="54" spans="1:11" ht="15" customHeight="1">
      <c r="A54" s="405"/>
      <c r="B54" s="374">
        <f>IF($D$9=1,IF(Data!AI40&lt;=28,Data!AI40,""),IF($D$9=2,IF(Data!AI40&lt;=42,Data!AI40,""),IF($D$9=3,IF(Data!AI40&lt;=66,Data!AI40,""),Data!AI40)))</f>
        <v>36</v>
      </c>
      <c r="C54" s="371">
        <f>IF(B54="","",IF($D$9=1,VLOOKUP(B54,Data!$AI$4:$AQ$85,2),IF($D$9=2,VLOOKUP(B54,Data!$AI$4:$AQ$85,4),IF($D$9=3,VLOOKUP(B54,Data!$AI$4:$AQ$85,6),VLOOKUP(B54,Data!$AI$4:$AQ$85,8)))))</f>
        <v>63.21</v>
      </c>
      <c r="D54" s="371">
        <f>IF(B54="","",IF($D$9=1,VLOOKUP(B54,Data!$AI$4:$AQ$85,3),IF($D$9=2,VLOOKUP(B54,Data!$AI$4:$AQ$85,5),IF($D$9=3,VLOOKUP(B54,Data!$AI$4:$AQ$85,7),VLOOKUP(B54,Data!$AI$4:$AQ$85,9)))))</f>
        <v>25.53</v>
      </c>
      <c r="E54" s="413">
        <f t="shared" si="1"/>
        <v>13518.06</v>
      </c>
      <c r="F54" s="414"/>
      <c r="G54" s="374">
        <f>IF($D$9=1,IF(Data!AI81&lt;=28,Data!AI81,""),IF($D$9=2,IF(Data!AI81&lt;=42,Data!AI81,""),IF($D$9=3,IF(Data!AI81&lt;=66,Data!AI81,""),Data!AI81)))</f>
        <v>77</v>
      </c>
      <c r="H54" s="371">
        <f>IF(G54="","",IF($D$9=1,VLOOKUP(G54,Data!$AI$4:$AQ$85,2),IF($D$9=2,VLOOKUP(G54,Data!$AI$4:$AQ$85,4),IF($D$9=3,VLOOKUP(G54,Data!$AI$4:$AQ$85,6),VLOOKUP(G54,Data!$AI$4:$AQ$85,8)))))</f>
        <v>109.67</v>
      </c>
      <c r="I54" s="371">
        <f>IF(G54="","",IF($D$9=1,VLOOKUP(G54,Data!$AI$4:$AQ$85,3),IF($D$9=2,VLOOKUP(G54,Data!$AI$4:$AQ$85,5),IF($D$9=3,VLOOKUP(G54,Data!$AI$4:$AQ$85,7),VLOOKUP(G54,Data!$AI$4:$AQ$85,9)))))</f>
        <v>39.600000000000016</v>
      </c>
      <c r="J54" s="413">
        <f t="shared" si="2"/>
        <v>26435.933333333334</v>
      </c>
      <c r="K54" s="407"/>
    </row>
    <row r="55" spans="1:11" ht="15" customHeight="1">
      <c r="A55" s="405"/>
      <c r="B55" s="374">
        <f>IF($D$9=1,IF(Data!AI41&lt;=28,Data!AI41,""),IF($D$9=2,IF(Data!AI41&lt;=42,Data!AI41,""),IF($D$9=3,IF(Data!AI41&lt;=66,Data!AI41,""),Data!AI41)))</f>
        <v>37</v>
      </c>
      <c r="C55" s="371">
        <f>IF(B55="","",IF($D$9=1,VLOOKUP(B55,Data!$AI$4:$AQ$85,2),IF($D$9=2,VLOOKUP(B55,Data!$AI$4:$AQ$85,4),IF($D$9=3,VLOOKUP(B55,Data!$AI$4:$AQ$85,6),VLOOKUP(B55,Data!$AI$4:$AQ$85,8)))))</f>
        <v>65.349999999999994</v>
      </c>
      <c r="D55" s="371">
        <f>IF(B55="","",IF($D$9=1,VLOOKUP(B55,Data!$AI$4:$AQ$85,3),IF($D$9=2,VLOOKUP(B55,Data!$AI$4:$AQ$85,5),IF($D$9=3,VLOOKUP(B55,Data!$AI$4:$AQ$85,7),VLOOKUP(B55,Data!$AI$4:$AQ$85,9)))))</f>
        <v>26.330000000000002</v>
      </c>
      <c r="E55" s="413">
        <f t="shared" si="1"/>
        <v>13929.226666666667</v>
      </c>
      <c r="F55" s="414"/>
      <c r="G55" s="374">
        <f>IF($D$9=1,IF(Data!AI82&lt;=28,Data!AI82,""),IF($D$9=2,IF(Data!AI82&lt;=42,Data!AI82,""),IF($D$9=3,IF(Data!AI82&lt;=66,Data!AI82,""),Data!AI82)))</f>
        <v>78</v>
      </c>
      <c r="H55" s="371">
        <f>IF(G55="","",IF($D$9=1,VLOOKUP(G55,Data!$AI$4:$AQ$85,2),IF($D$9=2,VLOOKUP(G55,Data!$AI$4:$AQ$85,4),IF($D$9=3,VLOOKUP(G55,Data!$AI$4:$AQ$85,6),VLOOKUP(G55,Data!$AI$4:$AQ$85,8)))))</f>
        <v>109.67</v>
      </c>
      <c r="I55" s="371">
        <f>IF(G55="","",IF($D$9=1,VLOOKUP(G55,Data!$AI$4:$AQ$85,3),IF($D$9=2,VLOOKUP(G55,Data!$AI$4:$AQ$85,5),IF($D$9=3,VLOOKUP(G55,Data!$AI$4:$AQ$85,7),VLOOKUP(G55,Data!$AI$4:$AQ$85,9)))))</f>
        <v>39.600000000000016</v>
      </c>
      <c r="J55" s="413">
        <f t="shared" si="2"/>
        <v>26644.9</v>
      </c>
      <c r="K55" s="407"/>
    </row>
    <row r="56" spans="1:11" ht="15" customHeight="1">
      <c r="A56" s="405"/>
      <c r="B56" s="374">
        <f>IF($D$9=1,IF(Data!AI42&lt;=28,Data!AI42,""),IF($D$9=2,IF(Data!AI42&lt;=42,Data!AI42,""),IF($D$9=3,IF(Data!AI42&lt;=66,Data!AI42,""),Data!AI42)))</f>
        <v>38</v>
      </c>
      <c r="C56" s="371">
        <f>IF(B56="","",IF($D$9=1,VLOOKUP(B56,Data!$AI$4:$AQ$85,2),IF($D$9=2,VLOOKUP(B56,Data!$AI$4:$AQ$85,4),IF($D$9=3,VLOOKUP(B56,Data!$AI$4:$AQ$85,6),VLOOKUP(B56,Data!$AI$4:$AQ$85,8)))))</f>
        <v>67.47</v>
      </c>
      <c r="D56" s="371">
        <f>IF(B56="","",IF($D$9=1,VLOOKUP(B56,Data!$AI$4:$AQ$85,3),IF($D$9=2,VLOOKUP(B56,Data!$AI$4:$AQ$85,5),IF($D$9=3,VLOOKUP(B56,Data!$AI$4:$AQ$85,7),VLOOKUP(B56,Data!$AI$4:$AQ$85,9)))))</f>
        <v>27.110000000000003</v>
      </c>
      <c r="E56" s="413">
        <f t="shared" si="1"/>
        <v>14338.353333333333</v>
      </c>
      <c r="F56" s="381"/>
      <c r="G56" s="374">
        <f>IF($D$9=1,IF(Data!AI83&lt;=28,Data!AI83,""),IF($D$9=2,IF(Data!AI83&lt;=42,Data!AI83,""),IF($D$9=3,IF(Data!AI83&lt;=66,Data!AI83,""),Data!AI83)))</f>
        <v>79</v>
      </c>
      <c r="H56" s="371">
        <f>IF(G56="","",IF($D$9=1,VLOOKUP(G56,Data!$AI$4:$AQ$85,2),IF($D$9=2,VLOOKUP(G56,Data!$AI$4:$AQ$85,4),IF($D$9=3,VLOOKUP(G56,Data!$AI$4:$AQ$85,6),VLOOKUP(G56,Data!$AI$4:$AQ$85,8)))))</f>
        <v>109.67</v>
      </c>
      <c r="I56" s="371">
        <f>IF(G56="","",IF($D$9=1,VLOOKUP(G56,Data!$AI$4:$AQ$85,3),IF($D$9=2,VLOOKUP(G56,Data!$AI$4:$AQ$85,5),IF($D$9=3,VLOOKUP(G56,Data!$AI$4:$AQ$85,7),VLOOKUP(G56,Data!$AI$4:$AQ$85,9)))))</f>
        <v>39.600000000000016</v>
      </c>
      <c r="J56" s="413">
        <f t="shared" si="2"/>
        <v>26853.866666666669</v>
      </c>
      <c r="K56" s="407"/>
    </row>
    <row r="57" spans="1:11" ht="15" customHeight="1">
      <c r="A57" s="626"/>
      <c r="B57" s="374">
        <f>IF($D$9=1,IF(Data!AI43&lt;=28,Data!AI43,""),IF($D$9=2,IF(Data!AI43&lt;=42,Data!AI43,""),IF($D$9=3,IF(Data!AI43&lt;=66,Data!AI43,""),Data!AI43)))</f>
        <v>39</v>
      </c>
      <c r="C57" s="371">
        <f>IF(B57="","",IF($D$9=1,VLOOKUP(B57,Data!$AI$4:$AQ$85,2),IF($D$9=2,VLOOKUP(B57,Data!$AI$4:$AQ$85,4),IF($D$9=3,VLOOKUP(B57,Data!$AI$4:$AQ$85,6),VLOOKUP(B57,Data!$AI$4:$AQ$85,8)))))</f>
        <v>69.569999999999993</v>
      </c>
      <c r="D57" s="371">
        <f>IF(B57="","",IF($D$9=1,VLOOKUP(B57,Data!$AI$4:$AQ$85,3),IF($D$9=2,VLOOKUP(B57,Data!$AI$4:$AQ$85,5),IF($D$9=3,VLOOKUP(B57,Data!$AI$4:$AQ$85,7),VLOOKUP(B57,Data!$AI$4:$AQ$85,9)))))</f>
        <v>27.870000000000005</v>
      </c>
      <c r="E57" s="413">
        <f t="shared" si="1"/>
        <v>14745.439999999999</v>
      </c>
      <c r="F57" s="628"/>
      <c r="G57" s="374">
        <f>IF($D$9=1,IF(Data!AI84&lt;=28,Data!AI84,""),IF($D$9=2,IF(Data!AI84&lt;=42,Data!AI84,""),IF($D$9=3,IF(Data!AI84&lt;=66,Data!AI84,""),Data!AI84)))</f>
        <v>80</v>
      </c>
      <c r="H57" s="371">
        <f>IF(G57="","",IF($D$9=1,VLOOKUP(G57,Data!$AI$4:$AQ$85,2),IF($D$9=2,VLOOKUP(G57,Data!$AI$4:$AQ$85,4),IF($D$9=3,VLOOKUP(G57,Data!$AI$4:$AQ$85,6),VLOOKUP(G57,Data!$AI$4:$AQ$85,8)))))</f>
        <v>109.67</v>
      </c>
      <c r="I57" s="371">
        <f>IF(G57="","",IF($D$9=1,VLOOKUP(G57,Data!$AI$4:$AQ$85,3),IF($D$9=2,VLOOKUP(G57,Data!$AI$4:$AQ$85,5),IF($D$9=3,VLOOKUP(G57,Data!$AI$4:$AQ$85,7),VLOOKUP(G57,Data!$AI$4:$AQ$85,9)))))</f>
        <v>39.600000000000016</v>
      </c>
      <c r="J57" s="413">
        <f t="shared" si="2"/>
        <v>27062.833333333336</v>
      </c>
      <c r="K57" s="627"/>
    </row>
    <row r="58" spans="1:11" ht="15" customHeight="1" thickBot="1">
      <c r="A58" s="405"/>
      <c r="B58" s="375">
        <f>IF($D$9=1,IF(Data!AI44&lt;=28,Data!AI44,""),IF($D$9=2,IF(Data!AI44&lt;=42,Data!AI44,""),IF($D$9=3,IF(Data!AI44&lt;=66,Data!AI44,""),Data!AI44)))</f>
        <v>40</v>
      </c>
      <c r="C58" s="376">
        <f>IF(B58="","",IF($D$9=1,VLOOKUP(B58,Data!$AI$4:$AQ$85,2),IF($D$9=2,VLOOKUP(B58,Data!$AI$4:$AQ$85,4),IF($D$9=3,VLOOKUP(B58,Data!$AI$4:$AQ$85,6),VLOOKUP(B58,Data!$AI$4:$AQ$85,8)))))</f>
        <v>71.650000000000006</v>
      </c>
      <c r="D58" s="376">
        <f>IF(B58="","",IF($D$9=1,VLOOKUP(B58,Data!$AI$4:$AQ$85,3),IF($D$9=2,VLOOKUP(B58,Data!$AI$4:$AQ$85,5),IF($D$9=3,VLOOKUP(B58,Data!$AI$4:$AQ$85,7),VLOOKUP(B58,Data!$AI$4:$AQ$85,9)))))</f>
        <v>28.620000000000005</v>
      </c>
      <c r="E58" s="419">
        <f t="shared" si="1"/>
        <v>15150.606666666667</v>
      </c>
      <c r="F58" s="381"/>
      <c r="G58" s="375">
        <f>IF($D$9=1,IF(Data!AI85&lt;=28,Data!AI85,""),IF($D$9=2,IF(Data!AI85&lt;=42,Data!AI85,""),IF($D$9=3,IF(Data!AI85&lt;=66,Data!AI85,""),Data!AI85)))</f>
        <v>81</v>
      </c>
      <c r="H58" s="376">
        <f>IF(G58="","",IF($D$9=1,VLOOKUP(G58,Data!$AI$4:$AQ$85,2),IF($D$9=2,VLOOKUP(G58,Data!$AI$4:$AQ$85,4),IF($D$9=3,VLOOKUP(G58,Data!$AI$4:$AQ$85,6),VLOOKUP(G58,Data!$AI$4:$AQ$85,8)))))</f>
        <v>109.67</v>
      </c>
      <c r="I58" s="376">
        <f>IF(G58="","",IF($D$9=1,VLOOKUP(G58,Data!$AI$4:$AQ$85,3),IF($D$9=2,VLOOKUP(G58,Data!$AI$4:$AQ$85,5),IF($D$9=3,VLOOKUP(G58,Data!$AI$4:$AQ$85,7),VLOOKUP(G58,Data!$AI$4:$AQ$85,9)))))</f>
        <v>39.600000000000016</v>
      </c>
      <c r="J58" s="419">
        <f t="shared" si="2"/>
        <v>27271.800000000003</v>
      </c>
      <c r="K58" s="407"/>
    </row>
    <row r="59" spans="1:11" ht="15" customHeight="1">
      <c r="A59" s="420"/>
      <c r="B59" s="180"/>
      <c r="C59" s="421"/>
      <c r="D59" s="421"/>
      <c r="E59" s="421"/>
      <c r="F59" s="180"/>
      <c r="G59" s="180"/>
      <c r="H59" s="180"/>
      <c r="I59" s="180"/>
      <c r="J59" s="180"/>
      <c r="K59" s="422"/>
    </row>
    <row r="60" spans="1:11" ht="15" customHeight="1">
      <c r="A60" s="398"/>
      <c r="F60" s="400"/>
      <c r="G60" s="398"/>
      <c r="H60" s="398"/>
      <c r="I60" s="398"/>
      <c r="J60" s="398"/>
      <c r="K60" s="398"/>
    </row>
    <row r="61" spans="1:11" ht="15" customHeight="1">
      <c r="A61" s="398"/>
      <c r="F61" s="400"/>
      <c r="G61" s="398"/>
      <c r="H61" s="398"/>
      <c r="I61" s="398"/>
      <c r="J61" s="398"/>
      <c r="K61" s="398"/>
    </row>
    <row r="62" spans="1:11" ht="15" customHeight="1">
      <c r="A62" s="398"/>
      <c r="F62" s="400"/>
      <c r="G62" s="398"/>
      <c r="H62" s="398"/>
      <c r="I62" s="398"/>
      <c r="J62" s="398"/>
      <c r="K62" s="398"/>
    </row>
    <row r="63" spans="1:11" ht="15" customHeight="1">
      <c r="A63" s="398"/>
      <c r="F63" s="400"/>
      <c r="G63" s="398"/>
      <c r="H63" s="398"/>
      <c r="I63" s="398"/>
      <c r="J63" s="398"/>
      <c r="K63" s="398"/>
    </row>
    <row r="64" spans="1:11" ht="15" customHeight="1">
      <c r="A64" s="398"/>
      <c r="F64" s="400"/>
      <c r="G64" s="398"/>
      <c r="H64" s="398"/>
      <c r="I64" s="398"/>
      <c r="J64" s="398"/>
      <c r="K64" s="398"/>
    </row>
    <row r="65" spans="1:11" ht="15" customHeight="1">
      <c r="A65" s="398"/>
      <c r="F65" s="400"/>
      <c r="G65" s="398"/>
      <c r="H65" s="398"/>
      <c r="I65" s="398"/>
      <c r="J65" s="398"/>
      <c r="K65" s="398"/>
    </row>
    <row r="66" spans="1:11" ht="15" customHeight="1">
      <c r="A66" s="398"/>
      <c r="F66" s="400"/>
      <c r="G66" s="398"/>
      <c r="H66" s="398"/>
      <c r="I66" s="398"/>
      <c r="J66" s="398"/>
      <c r="K66" s="398"/>
    </row>
    <row r="67" spans="1:11" ht="15" customHeight="1">
      <c r="A67" s="398"/>
      <c r="F67" s="400"/>
      <c r="G67" s="398"/>
      <c r="H67" s="398"/>
      <c r="I67" s="398"/>
      <c r="J67" s="398"/>
      <c r="K67" s="398"/>
    </row>
    <row r="68" spans="1:11" ht="15" customHeight="1">
      <c r="A68" s="398"/>
      <c r="F68" s="400"/>
      <c r="G68" s="398"/>
      <c r="H68" s="398"/>
      <c r="I68" s="398"/>
      <c r="J68" s="398"/>
      <c r="K68" s="398"/>
    </row>
    <row r="69" spans="1:11" ht="15" customHeight="1">
      <c r="A69" s="398"/>
      <c r="F69" s="400"/>
      <c r="G69" s="398"/>
      <c r="H69" s="398"/>
      <c r="I69" s="398"/>
      <c r="J69" s="398"/>
      <c r="K69" s="398"/>
    </row>
    <row r="70" spans="1:11" ht="15" customHeight="1">
      <c r="A70" s="398"/>
      <c r="F70" s="400"/>
      <c r="G70" s="398"/>
      <c r="H70" s="398"/>
      <c r="I70" s="398"/>
      <c r="J70" s="398"/>
      <c r="K70" s="398"/>
    </row>
    <row r="71" spans="1:11" ht="15" customHeight="1">
      <c r="A71" s="398"/>
      <c r="F71" s="400"/>
      <c r="G71" s="398"/>
      <c r="H71" s="398"/>
      <c r="I71" s="398"/>
      <c r="J71" s="398"/>
      <c r="K71" s="398"/>
    </row>
    <row r="72" spans="1:11" ht="15" customHeight="1">
      <c r="A72" s="398"/>
      <c r="F72" s="400"/>
      <c r="G72" s="398"/>
      <c r="H72" s="398"/>
      <c r="I72" s="398"/>
      <c r="J72" s="398"/>
      <c r="K72" s="398"/>
    </row>
    <row r="73" spans="1:11" ht="15" customHeight="1">
      <c r="A73" s="398"/>
      <c r="F73" s="400"/>
      <c r="G73" s="398"/>
      <c r="H73" s="398"/>
      <c r="I73" s="398"/>
      <c r="J73" s="398"/>
      <c r="K73" s="398"/>
    </row>
    <row r="74" spans="1:11" ht="15" customHeight="1">
      <c r="A74" s="398"/>
      <c r="F74" s="400"/>
      <c r="G74" s="398"/>
      <c r="H74" s="398"/>
      <c r="I74" s="398"/>
      <c r="J74" s="398"/>
      <c r="K74" s="398"/>
    </row>
    <row r="75" spans="1:11" ht="15" customHeight="1">
      <c r="A75" s="398"/>
      <c r="F75" s="400"/>
      <c r="G75" s="398"/>
      <c r="H75" s="398"/>
      <c r="I75" s="398"/>
      <c r="J75" s="398"/>
      <c r="K75" s="398"/>
    </row>
    <row r="76" spans="1:11" ht="15" customHeight="1">
      <c r="A76" s="398"/>
      <c r="F76" s="400"/>
      <c r="G76" s="398"/>
      <c r="H76" s="398"/>
      <c r="I76" s="398"/>
      <c r="J76" s="398"/>
      <c r="K76" s="398"/>
    </row>
    <row r="77" spans="1:11" ht="15" customHeight="1">
      <c r="A77" s="398"/>
      <c r="F77" s="400"/>
      <c r="G77" s="398"/>
      <c r="H77" s="398"/>
      <c r="I77" s="398"/>
      <c r="J77" s="398"/>
      <c r="K77" s="398"/>
    </row>
    <row r="78" spans="1:11" ht="15" customHeight="1">
      <c r="A78" s="398"/>
      <c r="F78" s="400"/>
      <c r="G78" s="398"/>
      <c r="H78" s="398"/>
      <c r="I78" s="398"/>
      <c r="J78" s="398"/>
      <c r="K78" s="398"/>
    </row>
    <row r="79" spans="1:11" ht="15" customHeight="1">
      <c r="A79" s="398"/>
      <c r="F79" s="400"/>
      <c r="G79" s="398"/>
      <c r="H79" s="398"/>
      <c r="I79" s="398"/>
      <c r="J79" s="398"/>
      <c r="K79" s="398"/>
    </row>
    <row r="80" spans="1:11" ht="15" customHeight="1">
      <c r="A80" s="398"/>
      <c r="F80" s="400"/>
      <c r="G80" s="398"/>
      <c r="H80" s="398"/>
      <c r="I80" s="398"/>
      <c r="J80" s="398"/>
      <c r="K80" s="398"/>
    </row>
    <row r="81" spans="1:11" ht="15" customHeight="1">
      <c r="A81" s="398"/>
      <c r="F81" s="400"/>
      <c r="G81" s="398"/>
      <c r="H81" s="398"/>
      <c r="I81" s="398"/>
      <c r="J81" s="398"/>
      <c r="K81" s="398"/>
    </row>
    <row r="82" spans="1:11" ht="15" customHeight="1">
      <c r="A82" s="398"/>
      <c r="F82" s="400"/>
      <c r="G82" s="398"/>
      <c r="H82" s="398"/>
      <c r="I82" s="398"/>
      <c r="J82" s="398"/>
      <c r="K82" s="398"/>
    </row>
    <row r="83" spans="1:11" ht="15" customHeight="1">
      <c r="A83" s="398"/>
      <c r="F83" s="400"/>
      <c r="G83" s="398"/>
      <c r="H83" s="398"/>
      <c r="I83" s="398"/>
      <c r="J83" s="398"/>
      <c r="K83" s="398"/>
    </row>
    <row r="84" spans="1:11" ht="15" customHeight="1">
      <c r="A84" s="398"/>
      <c r="F84" s="400"/>
      <c r="G84" s="398"/>
      <c r="H84" s="398"/>
      <c r="I84" s="398"/>
      <c r="J84" s="398"/>
      <c r="K84" s="398"/>
    </row>
    <row r="85" spans="1:11" ht="15" customHeight="1">
      <c r="A85" s="398"/>
      <c r="F85" s="400"/>
      <c r="G85" s="398"/>
      <c r="H85" s="398"/>
      <c r="I85" s="398"/>
      <c r="J85" s="398"/>
      <c r="K85" s="398"/>
    </row>
    <row r="86" spans="1:11" ht="15" customHeight="1">
      <c r="A86" s="398"/>
      <c r="F86" s="400"/>
      <c r="G86" s="398"/>
      <c r="H86" s="398"/>
      <c r="I86" s="398"/>
      <c r="J86" s="398"/>
      <c r="K86" s="398"/>
    </row>
    <row r="87" spans="1:11" ht="15" customHeight="1">
      <c r="A87" s="398"/>
      <c r="F87" s="400"/>
      <c r="G87" s="398"/>
      <c r="H87" s="398"/>
      <c r="I87" s="398"/>
      <c r="J87" s="398"/>
      <c r="K87" s="398"/>
    </row>
    <row r="88" spans="1:11" ht="15" customHeight="1">
      <c r="A88" s="398"/>
      <c r="F88" s="400"/>
      <c r="G88" s="398"/>
      <c r="H88" s="398"/>
      <c r="I88" s="398"/>
      <c r="J88" s="398"/>
      <c r="K88" s="398"/>
    </row>
    <row r="89" spans="1:11" ht="15" customHeight="1">
      <c r="A89" s="398"/>
      <c r="F89" s="400"/>
      <c r="G89" s="398"/>
      <c r="H89" s="398"/>
      <c r="I89" s="398"/>
      <c r="J89" s="398"/>
      <c r="K89" s="398"/>
    </row>
    <row r="90" spans="1:11" ht="15" customHeight="1">
      <c r="A90" s="398"/>
      <c r="F90" s="400"/>
      <c r="G90" s="398"/>
      <c r="H90" s="398"/>
      <c r="I90" s="398"/>
      <c r="J90" s="398"/>
      <c r="K90" s="398"/>
    </row>
    <row r="91" spans="1:11" ht="15" customHeight="1">
      <c r="A91" s="398"/>
      <c r="F91" s="400"/>
      <c r="G91" s="398"/>
      <c r="H91" s="398"/>
      <c r="I91" s="398"/>
      <c r="J91" s="398"/>
      <c r="K91" s="398"/>
    </row>
    <row r="92" spans="1:11" ht="15" customHeight="1">
      <c r="A92" s="398"/>
      <c r="F92" s="400"/>
      <c r="G92" s="398"/>
      <c r="H92" s="398"/>
      <c r="I92" s="398"/>
      <c r="J92" s="398"/>
      <c r="K92" s="398"/>
    </row>
    <row r="93" spans="1:11" ht="15" customHeight="1">
      <c r="A93" s="398"/>
      <c r="F93" s="400"/>
      <c r="G93" s="398"/>
      <c r="H93" s="398"/>
      <c r="I93" s="398"/>
      <c r="J93" s="398"/>
      <c r="K93" s="398"/>
    </row>
    <row r="94" spans="1:11" ht="15" customHeight="1">
      <c r="A94" s="398"/>
      <c r="F94" s="400"/>
      <c r="G94" s="398"/>
      <c r="H94" s="398"/>
      <c r="I94" s="398"/>
      <c r="J94" s="398"/>
      <c r="K94" s="398"/>
    </row>
    <row r="95" spans="1:11" ht="15" customHeight="1">
      <c r="A95" s="398"/>
      <c r="F95" s="400"/>
      <c r="G95" s="398"/>
      <c r="H95" s="398"/>
      <c r="I95" s="398"/>
      <c r="J95" s="398"/>
      <c r="K95" s="398"/>
    </row>
    <row r="96" spans="1:11" ht="15" customHeight="1">
      <c r="A96" s="398"/>
      <c r="F96" s="400"/>
      <c r="G96" s="398"/>
      <c r="H96" s="398"/>
      <c r="I96" s="398"/>
      <c r="J96" s="398"/>
      <c r="K96" s="398"/>
    </row>
    <row r="97" spans="1:11" ht="15" customHeight="1">
      <c r="A97" s="398"/>
      <c r="F97" s="400"/>
      <c r="G97" s="398"/>
      <c r="H97" s="398"/>
      <c r="I97" s="398"/>
      <c r="J97" s="398"/>
      <c r="K97" s="398"/>
    </row>
    <row r="98" spans="1:11" ht="15" customHeight="1">
      <c r="A98" s="398"/>
      <c r="F98" s="400"/>
      <c r="G98" s="398"/>
      <c r="H98" s="398"/>
      <c r="I98" s="398"/>
      <c r="J98" s="398"/>
      <c r="K98" s="398"/>
    </row>
    <row r="99" spans="1:11" ht="15" customHeight="1">
      <c r="A99" s="398"/>
      <c r="F99" s="400"/>
      <c r="G99" s="398"/>
      <c r="H99" s="398"/>
      <c r="I99" s="398"/>
      <c r="J99" s="398"/>
      <c r="K99" s="398"/>
    </row>
    <row r="100" spans="1:11" ht="15">
      <c r="A100" s="398"/>
      <c r="B100"/>
      <c r="C100" s="399"/>
      <c r="D100" s="399"/>
      <c r="E100" s="399"/>
      <c r="F100" s="400"/>
      <c r="G100" s="398"/>
      <c r="H100" s="398"/>
      <c r="I100" s="398"/>
      <c r="J100" s="398"/>
      <c r="K100" s="398"/>
    </row>
    <row r="101" spans="1:11" ht="15">
      <c r="B101"/>
    </row>
    <row r="102" spans="1:11" ht="15">
      <c r="B102"/>
    </row>
    <row r="103" spans="1:11" ht="15">
      <c r="B103"/>
    </row>
    <row r="104" spans="1:11" ht="15">
      <c r="B104"/>
    </row>
    <row r="105" spans="1:11" ht="15">
      <c r="B105"/>
    </row>
    <row r="106" spans="1:11" ht="15">
      <c r="B106"/>
    </row>
    <row r="107" spans="1:11" ht="15">
      <c r="B107"/>
    </row>
  </sheetData>
  <sheetProtection algorithmName="SHA-512" hashValue="60wqxrZzJr0FtNn0nrSRztoD+QbaU5zxNK0nozNrOQfkBQNNzukKeSDVkCp1edJYlXDPWvhr4ZWS9UcvkV0c0g==" saltValue="xD35nS9vW7OrpZ7ZgJj0BQ==" spinCount="100000" sheet="1" objects="1" scenarios="1" selectLockedCells="1"/>
  <mergeCells count="12">
    <mergeCell ref="G14:J15"/>
    <mergeCell ref="B14:E15"/>
    <mergeCell ref="F14:F15"/>
    <mergeCell ref="B10:C10"/>
    <mergeCell ref="D2:F2"/>
    <mergeCell ref="D3:F3"/>
    <mergeCell ref="D4:F4"/>
    <mergeCell ref="D5:F5"/>
    <mergeCell ref="B4:C4"/>
    <mergeCell ref="B2:C2"/>
    <mergeCell ref="B3:C3"/>
    <mergeCell ref="B5:C5"/>
  </mergeCells>
  <printOptions horizontalCentered="1" verticalCentered="1"/>
  <pageMargins left="0.7" right="0.7" top="0.75" bottom="0.75" header="0.3" footer="0.3"/>
  <pageSetup scale="81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3</xdr:col>
                    <xdr:colOff>228600</xdr:colOff>
                    <xdr:row>8</xdr:row>
                    <xdr:rowOff>0</xdr:rowOff>
                  </from>
                  <to>
                    <xdr:col>3</xdr:col>
                    <xdr:colOff>838200</xdr:colOff>
                    <xdr:row>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661"/>
  <sheetViews>
    <sheetView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U25" sqref="U25"/>
    </sheetView>
  </sheetViews>
  <sheetFormatPr defaultRowHeight="15"/>
  <cols>
    <col min="2" max="3" width="5.7109375" customWidth="1"/>
    <col min="4" max="4" width="8.42578125" customWidth="1"/>
    <col min="5" max="5" width="9.7109375" customWidth="1"/>
    <col min="6" max="6" width="19.7109375" bestFit="1" customWidth="1"/>
    <col min="14" max="14" width="14.28515625" bestFit="1" customWidth="1"/>
    <col min="15" max="15" width="12.42578125" customWidth="1"/>
    <col min="16" max="17" width="14.7109375" customWidth="1"/>
    <col min="18" max="18" width="7" customWidth="1"/>
  </cols>
  <sheetData>
    <row r="1" spans="1:26" ht="15.75" customHeight="1">
      <c r="A1" s="487"/>
      <c r="B1" s="819" t="s">
        <v>263</v>
      </c>
      <c r="C1" s="820"/>
      <c r="D1" s="821" t="s">
        <v>264</v>
      </c>
      <c r="E1" s="820"/>
      <c r="F1" s="822" t="s">
        <v>265</v>
      </c>
      <c r="G1" s="821" t="s">
        <v>73</v>
      </c>
      <c r="H1" s="820"/>
      <c r="I1" s="586" t="s">
        <v>266</v>
      </c>
      <c r="J1" s="482" t="s">
        <v>67</v>
      </c>
      <c r="K1" s="482" t="s">
        <v>66</v>
      </c>
      <c r="L1" s="482" t="s">
        <v>267</v>
      </c>
      <c r="M1" s="482" t="s">
        <v>268</v>
      </c>
      <c r="N1" s="821" t="s">
        <v>263</v>
      </c>
      <c r="O1" s="819"/>
      <c r="P1" s="819"/>
      <c r="Q1" s="820"/>
      <c r="R1" s="587" t="s">
        <v>263</v>
      </c>
    </row>
    <row r="2" spans="1:26" ht="15.75" thickBot="1">
      <c r="A2" s="607">
        <v>0</v>
      </c>
      <c r="B2" s="824" t="s">
        <v>269</v>
      </c>
      <c r="C2" s="825"/>
      <c r="D2" s="588" t="s">
        <v>152</v>
      </c>
      <c r="E2" s="589" t="s">
        <v>153</v>
      </c>
      <c r="F2" s="823"/>
      <c r="G2" s="588" t="s">
        <v>152</v>
      </c>
      <c r="H2" s="589" t="s">
        <v>153</v>
      </c>
      <c r="I2" s="590" t="s">
        <v>60</v>
      </c>
      <c r="J2" s="483" t="s">
        <v>60</v>
      </c>
      <c r="K2" s="483" t="s">
        <v>60</v>
      </c>
      <c r="L2" s="483" t="s">
        <v>60</v>
      </c>
      <c r="M2" s="483" t="s">
        <v>60</v>
      </c>
      <c r="N2" s="588" t="s">
        <v>262</v>
      </c>
      <c r="O2" s="604" t="s">
        <v>270</v>
      </c>
      <c r="P2" s="604" t="s">
        <v>271</v>
      </c>
      <c r="Q2" s="589" t="s">
        <v>272</v>
      </c>
      <c r="R2" s="591" t="s">
        <v>649</v>
      </c>
      <c r="W2" s="106" t="s">
        <v>1146</v>
      </c>
      <c r="X2" s="106" t="s">
        <v>71</v>
      </c>
      <c r="Z2" s="106" t="s">
        <v>73</v>
      </c>
    </row>
    <row r="3" spans="1:26" ht="15" customHeight="1">
      <c r="A3" s="607">
        <v>1</v>
      </c>
      <c r="B3" s="805" t="s">
        <v>1034</v>
      </c>
      <c r="C3" s="592">
        <v>1</v>
      </c>
      <c r="D3" s="328">
        <v>6</v>
      </c>
      <c r="E3" s="329">
        <v>7.05</v>
      </c>
      <c r="F3" s="330" t="s">
        <v>1063</v>
      </c>
      <c r="G3" s="328">
        <v>4</v>
      </c>
      <c r="H3" s="329">
        <v>4.75</v>
      </c>
      <c r="I3" s="329">
        <v>39.74</v>
      </c>
      <c r="J3" s="367">
        <v>36.49</v>
      </c>
      <c r="K3" s="367">
        <v>29.44</v>
      </c>
      <c r="L3" s="331">
        <v>19.87</v>
      </c>
      <c r="M3" s="332" t="s">
        <v>275</v>
      </c>
      <c r="N3" s="329">
        <f t="shared" ref="N3:N31" si="0">PI()*D3^2/4*I3/1728+PI()*G3^2/4*(K3-12)/1728</f>
        <v>0.77707148842439211</v>
      </c>
      <c r="O3" s="329">
        <f t="shared" ref="O3:O31" si="1">PI()*E3^2/4*I3/1728+PI()*H3^2/4*(K3-12)/1728</f>
        <v>1.0765896911976278</v>
      </c>
      <c r="P3" s="329">
        <f t="shared" ref="P3:P31" si="2">42*I3*J3/1728</f>
        <v>35.245792361111114</v>
      </c>
      <c r="Q3" s="329">
        <f t="shared" ref="Q3:Q31" si="3">0.4*(P3-O3)+N3</f>
        <v>14.444752556389789</v>
      </c>
      <c r="R3" s="595">
        <v>1</v>
      </c>
      <c r="S3" s="370"/>
      <c r="T3" t="s">
        <v>1147</v>
      </c>
      <c r="U3" s="583"/>
      <c r="V3" s="584">
        <v>1</v>
      </c>
      <c r="W3" s="106">
        <v>6</v>
      </c>
      <c r="X3" s="585">
        <v>7.05</v>
      </c>
      <c r="Z3" s="106">
        <v>8</v>
      </c>
    </row>
    <row r="4" spans="1:26">
      <c r="A4" s="607">
        <v>2</v>
      </c>
      <c r="B4" s="806"/>
      <c r="C4" s="593">
        <v>2</v>
      </c>
      <c r="D4" s="542">
        <v>6</v>
      </c>
      <c r="E4" s="367">
        <v>7.05</v>
      </c>
      <c r="F4" s="336" t="s">
        <v>1064</v>
      </c>
      <c r="G4" s="542">
        <v>6</v>
      </c>
      <c r="H4" s="367">
        <v>7.05</v>
      </c>
      <c r="I4" s="367">
        <v>39.74</v>
      </c>
      <c r="J4" s="367">
        <v>36.659999999999997</v>
      </c>
      <c r="K4" s="367">
        <v>29.61</v>
      </c>
      <c r="L4" s="546">
        <v>19.87</v>
      </c>
      <c r="M4" s="338" t="s">
        <v>275</v>
      </c>
      <c r="N4" s="335">
        <f t="shared" si="0"/>
        <v>0.93838718064257631</v>
      </c>
      <c r="O4" s="335">
        <f t="shared" si="1"/>
        <v>1.2955608012746567</v>
      </c>
      <c r="P4" s="335">
        <f t="shared" si="2"/>
        <v>35.409995833333333</v>
      </c>
      <c r="Q4" s="335">
        <f t="shared" si="3"/>
        <v>14.58416119346605</v>
      </c>
      <c r="R4" s="595">
        <v>2</v>
      </c>
      <c r="T4" t="s">
        <v>1148</v>
      </c>
      <c r="U4" s="583"/>
      <c r="V4" s="584">
        <v>2</v>
      </c>
      <c r="W4" s="106">
        <v>8</v>
      </c>
      <c r="X4" s="585">
        <v>9.4</v>
      </c>
      <c r="Z4" s="106">
        <v>10</v>
      </c>
    </row>
    <row r="5" spans="1:26">
      <c r="A5" s="607">
        <v>3</v>
      </c>
      <c r="B5" s="806"/>
      <c r="C5" s="593">
        <v>3</v>
      </c>
      <c r="D5" s="542">
        <v>8</v>
      </c>
      <c r="E5" s="367">
        <v>9.4</v>
      </c>
      <c r="F5" s="543" t="s">
        <v>1036</v>
      </c>
      <c r="G5" s="542">
        <v>4</v>
      </c>
      <c r="H5" s="367">
        <v>4.75</v>
      </c>
      <c r="I5" s="367">
        <v>39.840000000000003</v>
      </c>
      <c r="J5" s="367">
        <v>38.74</v>
      </c>
      <c r="K5" s="367">
        <v>29.44</v>
      </c>
      <c r="L5" s="546">
        <v>19.920000000000002</v>
      </c>
      <c r="M5" s="338" t="s">
        <v>275</v>
      </c>
      <c r="N5" s="335">
        <f t="shared" si="0"/>
        <v>1.2857258823024895</v>
      </c>
      <c r="O5" s="335">
        <f t="shared" si="1"/>
        <v>1.7788506637455763</v>
      </c>
      <c r="P5" s="335">
        <f t="shared" si="2"/>
        <v>37.513233333333339</v>
      </c>
      <c r="Q5" s="335">
        <f t="shared" si="3"/>
        <v>15.579478950137595</v>
      </c>
      <c r="R5" s="595">
        <v>3</v>
      </c>
      <c r="U5" s="583"/>
      <c r="V5" s="584">
        <v>3</v>
      </c>
      <c r="W5" s="106">
        <v>10</v>
      </c>
      <c r="X5" s="585">
        <v>12</v>
      </c>
      <c r="Z5" s="106">
        <v>12</v>
      </c>
    </row>
    <row r="6" spans="1:26">
      <c r="A6" s="607">
        <v>4</v>
      </c>
      <c r="B6" s="806"/>
      <c r="C6" s="593">
        <v>4</v>
      </c>
      <c r="D6" s="542">
        <v>8</v>
      </c>
      <c r="E6" s="367">
        <v>9.4</v>
      </c>
      <c r="F6" s="336" t="s">
        <v>1037</v>
      </c>
      <c r="G6" s="542">
        <v>6</v>
      </c>
      <c r="H6" s="367">
        <v>7.05</v>
      </c>
      <c r="I6" s="367">
        <v>39.840000000000003</v>
      </c>
      <c r="J6" s="367">
        <v>39.01</v>
      </c>
      <c r="K6" s="367">
        <v>29.61</v>
      </c>
      <c r="L6" s="546">
        <v>19.920000000000002</v>
      </c>
      <c r="M6" s="338" t="s">
        <v>275</v>
      </c>
      <c r="N6" s="335">
        <f t="shared" si="0"/>
        <v>1.4470415745206737</v>
      </c>
      <c r="O6" s="335">
        <f t="shared" si="1"/>
        <v>1.9978217738226054</v>
      </c>
      <c r="P6" s="335">
        <f t="shared" si="2"/>
        <v>37.774683333333336</v>
      </c>
      <c r="Q6" s="335">
        <f t="shared" si="3"/>
        <v>15.757786198324965</v>
      </c>
      <c r="R6" s="595">
        <v>4</v>
      </c>
      <c r="T6" s="106"/>
      <c r="U6" s="583"/>
      <c r="V6" s="584">
        <v>4</v>
      </c>
      <c r="W6" s="106">
        <v>12</v>
      </c>
      <c r="X6" s="585">
        <v>14.58</v>
      </c>
      <c r="Z6" s="106">
        <v>15</v>
      </c>
    </row>
    <row r="7" spans="1:26">
      <c r="A7" s="607">
        <v>5</v>
      </c>
      <c r="B7" s="806"/>
      <c r="C7" s="593">
        <v>5</v>
      </c>
      <c r="D7" s="542">
        <v>8</v>
      </c>
      <c r="E7" s="367">
        <v>9.4</v>
      </c>
      <c r="F7" s="336" t="s">
        <v>1038</v>
      </c>
      <c r="G7" s="542">
        <v>8</v>
      </c>
      <c r="H7" s="367">
        <v>9.4</v>
      </c>
      <c r="I7" s="367">
        <v>39.840000000000003</v>
      </c>
      <c r="J7" s="367">
        <v>38.549999999999997</v>
      </c>
      <c r="K7" s="367">
        <v>29.15</v>
      </c>
      <c r="L7" s="546">
        <v>19.920000000000002</v>
      </c>
      <c r="M7" s="338" t="s">
        <v>275</v>
      </c>
      <c r="N7" s="335">
        <f t="shared" si="0"/>
        <v>1.6577719011859473</v>
      </c>
      <c r="O7" s="335">
        <f t="shared" si="1"/>
        <v>2.2887613310748489</v>
      </c>
      <c r="P7" s="335">
        <f t="shared" si="2"/>
        <v>37.329250000000002</v>
      </c>
      <c r="Q7" s="335">
        <f t="shared" si="3"/>
        <v>15.673967368756008</v>
      </c>
      <c r="R7" s="595">
        <v>5</v>
      </c>
      <c r="T7" s="106"/>
      <c r="U7" s="583"/>
      <c r="V7" s="584">
        <v>5</v>
      </c>
      <c r="W7" s="106">
        <v>15</v>
      </c>
      <c r="X7" s="585">
        <v>17.73</v>
      </c>
      <c r="Z7" s="106">
        <v>18</v>
      </c>
    </row>
    <row r="8" spans="1:26">
      <c r="A8" s="607">
        <v>6</v>
      </c>
      <c r="B8" s="806"/>
      <c r="C8" s="593">
        <v>6</v>
      </c>
      <c r="D8" s="542">
        <v>10</v>
      </c>
      <c r="E8" s="367">
        <v>12</v>
      </c>
      <c r="F8" s="336" t="s">
        <v>1039</v>
      </c>
      <c r="G8" s="542">
        <v>4</v>
      </c>
      <c r="H8" s="367">
        <v>4.75</v>
      </c>
      <c r="I8" s="367">
        <v>40</v>
      </c>
      <c r="J8" s="367">
        <v>41.44</v>
      </c>
      <c r="K8" s="367">
        <v>29.44</v>
      </c>
      <c r="L8" s="546">
        <v>20</v>
      </c>
      <c r="M8" s="338" t="s">
        <v>275</v>
      </c>
      <c r="N8" s="335">
        <f t="shared" si="0"/>
        <v>1.9448785631390146</v>
      </c>
      <c r="O8" s="335">
        <f t="shared" si="1"/>
        <v>2.7968401299100489</v>
      </c>
      <c r="P8" s="335">
        <f t="shared" si="2"/>
        <v>40.288888888888884</v>
      </c>
      <c r="Q8" s="335">
        <f t="shared" si="3"/>
        <v>16.941698066730549</v>
      </c>
      <c r="R8" s="595">
        <v>6</v>
      </c>
      <c r="T8" s="106"/>
      <c r="U8" s="583"/>
      <c r="V8" s="584">
        <v>6</v>
      </c>
      <c r="W8" s="106">
        <v>18</v>
      </c>
      <c r="X8" s="585">
        <v>21.45</v>
      </c>
      <c r="Z8" s="106">
        <v>24</v>
      </c>
    </row>
    <row r="9" spans="1:26">
      <c r="A9" s="607">
        <v>7</v>
      </c>
      <c r="B9" s="806"/>
      <c r="C9" s="593">
        <v>7</v>
      </c>
      <c r="D9" s="542">
        <v>10</v>
      </c>
      <c r="E9" s="367">
        <v>12</v>
      </c>
      <c r="F9" s="336" t="s">
        <v>1040</v>
      </c>
      <c r="G9" s="542">
        <v>6</v>
      </c>
      <c r="H9" s="367">
        <v>7.05</v>
      </c>
      <c r="I9" s="367">
        <v>40</v>
      </c>
      <c r="J9" s="367">
        <v>41.61</v>
      </c>
      <c r="K9" s="367">
        <v>29.61</v>
      </c>
      <c r="L9" s="546">
        <v>20</v>
      </c>
      <c r="M9" s="338" t="s">
        <v>275</v>
      </c>
      <c r="N9" s="335">
        <f t="shared" si="0"/>
        <v>2.1061942553571988</v>
      </c>
      <c r="O9" s="335">
        <f t="shared" si="1"/>
        <v>3.0158112399870776</v>
      </c>
      <c r="P9" s="335">
        <f t="shared" si="2"/>
        <v>40.454166666666666</v>
      </c>
      <c r="Q9" s="335">
        <f t="shared" si="3"/>
        <v>17.081536426029032</v>
      </c>
      <c r="R9" s="595">
        <v>7</v>
      </c>
      <c r="T9" s="106"/>
      <c r="U9" s="583"/>
      <c r="V9" s="584">
        <v>7</v>
      </c>
      <c r="W9" s="106">
        <v>24</v>
      </c>
      <c r="X9" s="585">
        <v>28.2</v>
      </c>
      <c r="Z9" s="106">
        <v>30</v>
      </c>
    </row>
    <row r="10" spans="1:26">
      <c r="A10" s="607">
        <v>8</v>
      </c>
      <c r="B10" s="806"/>
      <c r="C10" s="593">
        <v>8</v>
      </c>
      <c r="D10" s="542">
        <v>10</v>
      </c>
      <c r="E10" s="367">
        <v>12</v>
      </c>
      <c r="F10" s="336" t="s">
        <v>1041</v>
      </c>
      <c r="G10" s="542">
        <v>8</v>
      </c>
      <c r="H10" s="367">
        <v>9.4</v>
      </c>
      <c r="I10" s="367">
        <v>40</v>
      </c>
      <c r="J10" s="367">
        <v>41.15</v>
      </c>
      <c r="K10" s="367">
        <v>29.15</v>
      </c>
      <c r="L10" s="546">
        <v>20</v>
      </c>
      <c r="M10" s="338" t="s">
        <v>275</v>
      </c>
      <c r="N10" s="335">
        <f t="shared" si="0"/>
        <v>2.3169245820224722</v>
      </c>
      <c r="O10" s="335">
        <f t="shared" si="1"/>
        <v>3.3067507972393213</v>
      </c>
      <c r="P10" s="335">
        <f t="shared" si="2"/>
        <v>40.006944444444443</v>
      </c>
      <c r="Q10" s="335">
        <f t="shared" si="3"/>
        <v>16.997002040904519</v>
      </c>
      <c r="R10" s="595">
        <v>8</v>
      </c>
      <c r="T10" s="106"/>
      <c r="U10" s="583"/>
      <c r="V10" s="584">
        <v>8</v>
      </c>
      <c r="W10" s="106">
        <v>30</v>
      </c>
      <c r="X10" s="585">
        <v>34.89</v>
      </c>
    </row>
    <row r="11" spans="1:26">
      <c r="A11" s="607">
        <v>9</v>
      </c>
      <c r="B11" s="806"/>
      <c r="C11" s="593">
        <v>9</v>
      </c>
      <c r="D11" s="542">
        <v>10</v>
      </c>
      <c r="E11" s="367">
        <v>12</v>
      </c>
      <c r="F11" s="336" t="s">
        <v>1042</v>
      </c>
      <c r="G11" s="542">
        <v>10</v>
      </c>
      <c r="H11" s="367">
        <v>12</v>
      </c>
      <c r="I11" s="367">
        <v>40</v>
      </c>
      <c r="J11" s="367">
        <v>41.23</v>
      </c>
      <c r="K11" s="367">
        <v>29.23</v>
      </c>
      <c r="L11" s="546">
        <v>20</v>
      </c>
      <c r="M11" s="338" t="s">
        <v>275</v>
      </c>
      <c r="N11" s="335">
        <f t="shared" si="0"/>
        <v>2.6011769034280072</v>
      </c>
      <c r="O11" s="335">
        <f t="shared" si="1"/>
        <v>3.7456947409363304</v>
      </c>
      <c r="P11" s="335">
        <f t="shared" si="2"/>
        <v>40.084722222222219</v>
      </c>
      <c r="Q11" s="335">
        <f t="shared" si="3"/>
        <v>17.136787895942366</v>
      </c>
      <c r="R11" s="595">
        <v>9</v>
      </c>
      <c r="T11" s="106"/>
      <c r="U11" s="583"/>
      <c r="V11" s="584">
        <v>9</v>
      </c>
      <c r="W11" s="106">
        <v>36</v>
      </c>
      <c r="X11" s="585">
        <v>40.9</v>
      </c>
    </row>
    <row r="12" spans="1:26">
      <c r="A12" s="607">
        <v>10</v>
      </c>
      <c r="B12" s="806"/>
      <c r="C12" s="593">
        <v>10</v>
      </c>
      <c r="D12" s="542">
        <v>12</v>
      </c>
      <c r="E12" s="367">
        <v>14.58</v>
      </c>
      <c r="F12" s="336" t="s">
        <v>1043</v>
      </c>
      <c r="G12" s="542">
        <v>4</v>
      </c>
      <c r="H12" s="367">
        <v>4.75</v>
      </c>
      <c r="I12" s="367">
        <v>39.340000000000003</v>
      </c>
      <c r="J12" s="367">
        <v>44.02</v>
      </c>
      <c r="K12" s="367">
        <v>29.44</v>
      </c>
      <c r="L12" s="546">
        <v>19.670000000000002</v>
      </c>
      <c r="M12" s="338" t="s">
        <v>275</v>
      </c>
      <c r="N12" s="335">
        <f t="shared" si="0"/>
        <v>2.7016242379828892</v>
      </c>
      <c r="O12" s="335">
        <f t="shared" si="1"/>
        <v>3.9798259222496717</v>
      </c>
      <c r="P12" s="335">
        <f t="shared" si="2"/>
        <v>42.091068055555567</v>
      </c>
      <c r="Q12" s="335">
        <f t="shared" si="3"/>
        <v>17.946121091305248</v>
      </c>
      <c r="R12" s="595">
        <v>10</v>
      </c>
      <c r="T12" s="106"/>
      <c r="U12" s="583"/>
      <c r="V12" s="584">
        <v>10</v>
      </c>
      <c r="W12" s="106">
        <v>42</v>
      </c>
      <c r="X12" s="585">
        <v>47.53</v>
      </c>
    </row>
    <row r="13" spans="1:26">
      <c r="A13" s="607">
        <v>11</v>
      </c>
      <c r="B13" s="806"/>
      <c r="C13" s="593">
        <v>11</v>
      </c>
      <c r="D13" s="542">
        <v>12</v>
      </c>
      <c r="E13" s="367">
        <v>14.58</v>
      </c>
      <c r="F13" s="336" t="s">
        <v>1044</v>
      </c>
      <c r="G13" s="542">
        <v>6</v>
      </c>
      <c r="H13" s="367">
        <v>7.05</v>
      </c>
      <c r="I13" s="367">
        <v>39.340000000000003</v>
      </c>
      <c r="J13" s="367">
        <v>44.19</v>
      </c>
      <c r="K13" s="367">
        <v>29.61</v>
      </c>
      <c r="L13" s="546">
        <v>19.670000000000002</v>
      </c>
      <c r="M13" s="338" t="s">
        <v>275</v>
      </c>
      <c r="N13" s="335">
        <f t="shared" si="0"/>
        <v>2.8629399302010734</v>
      </c>
      <c r="O13" s="335">
        <f t="shared" si="1"/>
        <v>4.1987970323267003</v>
      </c>
      <c r="P13" s="335">
        <f t="shared" si="2"/>
        <v>42.253618750000001</v>
      </c>
      <c r="Q13" s="335">
        <f t="shared" si="3"/>
        <v>18.084868617270395</v>
      </c>
      <c r="R13" s="595">
        <v>11</v>
      </c>
      <c r="T13" s="106"/>
      <c r="U13" s="583"/>
      <c r="V13" s="584">
        <v>11</v>
      </c>
      <c r="W13" s="106">
        <v>48</v>
      </c>
      <c r="X13" s="585">
        <v>54.48</v>
      </c>
    </row>
    <row r="14" spans="1:26">
      <c r="A14" s="607">
        <v>12</v>
      </c>
      <c r="B14" s="806"/>
      <c r="C14" s="593">
        <v>12</v>
      </c>
      <c r="D14" s="542">
        <v>12</v>
      </c>
      <c r="E14" s="367">
        <v>14.58</v>
      </c>
      <c r="F14" s="336" t="s">
        <v>1045</v>
      </c>
      <c r="G14" s="542">
        <v>8</v>
      </c>
      <c r="H14" s="367">
        <v>9.4</v>
      </c>
      <c r="I14" s="367">
        <v>39.343000000000004</v>
      </c>
      <c r="J14" s="367">
        <v>43.73</v>
      </c>
      <c r="K14" s="367">
        <v>29.15</v>
      </c>
      <c r="L14" s="546">
        <v>19.670000000000002</v>
      </c>
      <c r="M14" s="338" t="s">
        <v>275</v>
      </c>
      <c r="N14" s="335">
        <f t="shared" si="0"/>
        <v>3.0738666064071962</v>
      </c>
      <c r="O14" s="335">
        <f t="shared" si="1"/>
        <v>4.4900264456798844</v>
      </c>
      <c r="P14" s="335">
        <f t="shared" si="2"/>
        <v>41.816964340277778</v>
      </c>
      <c r="Q14" s="335">
        <f t="shared" si="3"/>
        <v>18.004641764246355</v>
      </c>
      <c r="R14" s="595">
        <v>12</v>
      </c>
      <c r="T14" s="106"/>
      <c r="U14" s="583"/>
      <c r="V14" s="584">
        <v>12</v>
      </c>
      <c r="W14" s="106">
        <v>60</v>
      </c>
      <c r="X14" s="585">
        <v>66.849999999999994</v>
      </c>
    </row>
    <row r="15" spans="1:26">
      <c r="A15" s="607">
        <v>13</v>
      </c>
      <c r="B15" s="806"/>
      <c r="C15" s="593">
        <v>13</v>
      </c>
      <c r="D15" s="542">
        <v>12</v>
      </c>
      <c r="E15" s="367">
        <v>14.58</v>
      </c>
      <c r="F15" s="336" t="s">
        <v>1046</v>
      </c>
      <c r="G15" s="542">
        <v>10</v>
      </c>
      <c r="H15" s="367">
        <v>12</v>
      </c>
      <c r="I15" s="367">
        <v>39.340000000000003</v>
      </c>
      <c r="J15" s="367">
        <v>43.81</v>
      </c>
      <c r="K15" s="367">
        <v>29.23</v>
      </c>
      <c r="L15" s="546">
        <v>19.670000000000002</v>
      </c>
      <c r="M15" s="338" t="s">
        <v>275</v>
      </c>
      <c r="N15" s="335">
        <f t="shared" si="0"/>
        <v>3.3579225782718822</v>
      </c>
      <c r="O15" s="335">
        <f t="shared" si="1"/>
        <v>4.9286805332759531</v>
      </c>
      <c r="P15" s="335">
        <f t="shared" si="2"/>
        <v>41.890270138888894</v>
      </c>
      <c r="Q15" s="335">
        <f t="shared" si="3"/>
        <v>18.142558420517062</v>
      </c>
      <c r="R15" s="595">
        <v>13</v>
      </c>
    </row>
    <row r="16" spans="1:26">
      <c r="A16" s="607">
        <v>14</v>
      </c>
      <c r="B16" s="806"/>
      <c r="C16" s="593">
        <v>14</v>
      </c>
      <c r="D16" s="542">
        <v>12</v>
      </c>
      <c r="E16" s="367">
        <v>14.58</v>
      </c>
      <c r="F16" s="336" t="s">
        <v>1047</v>
      </c>
      <c r="G16" s="542">
        <v>12</v>
      </c>
      <c r="H16" s="367">
        <v>14.58</v>
      </c>
      <c r="I16" s="367">
        <v>39.340000000000003</v>
      </c>
      <c r="J16" s="367">
        <v>44.09</v>
      </c>
      <c r="K16" s="367">
        <v>29.51</v>
      </c>
      <c r="L16" s="546">
        <v>19.670000000000002</v>
      </c>
      <c r="M16" s="338" t="s">
        <v>275</v>
      </c>
      <c r="N16" s="335">
        <f t="shared" si="0"/>
        <v>3.7208237990954114</v>
      </c>
      <c r="O16" s="335">
        <f t="shared" si="1"/>
        <v>5.4927731128196244</v>
      </c>
      <c r="P16" s="335">
        <f t="shared" si="2"/>
        <v>42.158000694444453</v>
      </c>
      <c r="Q16" s="335">
        <f t="shared" si="3"/>
        <v>18.386914831745344</v>
      </c>
      <c r="R16" s="595">
        <v>14</v>
      </c>
    </row>
    <row r="17" spans="1:18">
      <c r="A17" s="607">
        <v>15</v>
      </c>
      <c r="B17" s="806"/>
      <c r="C17" s="593">
        <v>15</v>
      </c>
      <c r="D17" s="542">
        <v>15</v>
      </c>
      <c r="E17" s="367">
        <v>17.73</v>
      </c>
      <c r="F17" s="336" t="s">
        <v>1048</v>
      </c>
      <c r="G17" s="542">
        <v>4</v>
      </c>
      <c r="H17" s="367">
        <v>4.75</v>
      </c>
      <c r="I17" s="367">
        <v>38.72</v>
      </c>
      <c r="J17" s="367">
        <v>47.17</v>
      </c>
      <c r="K17" s="367">
        <v>29.44</v>
      </c>
      <c r="L17" s="546">
        <v>19.36</v>
      </c>
      <c r="M17" s="338" t="s">
        <v>275</v>
      </c>
      <c r="N17" s="335">
        <f t="shared" si="0"/>
        <v>4.0865429994403897</v>
      </c>
      <c r="O17" s="335">
        <f t="shared" si="1"/>
        <v>5.7110601460959742</v>
      </c>
      <c r="P17" s="335">
        <f t="shared" si="2"/>
        <v>44.392211111111109</v>
      </c>
      <c r="Q17" s="335">
        <f t="shared" si="3"/>
        <v>19.559003385446445</v>
      </c>
      <c r="R17" s="595">
        <v>15</v>
      </c>
    </row>
    <row r="18" spans="1:18">
      <c r="A18" s="607">
        <v>16</v>
      </c>
      <c r="B18" s="806"/>
      <c r="C18" s="593">
        <v>16</v>
      </c>
      <c r="D18" s="542">
        <v>15</v>
      </c>
      <c r="E18" s="367">
        <v>17.73</v>
      </c>
      <c r="F18" s="336" t="s">
        <v>1049</v>
      </c>
      <c r="G18" s="542">
        <v>6</v>
      </c>
      <c r="H18" s="367">
        <v>7.05</v>
      </c>
      <c r="I18" s="367">
        <v>38.72</v>
      </c>
      <c r="J18" s="367">
        <v>47.34</v>
      </c>
      <c r="K18" s="367">
        <v>29.61</v>
      </c>
      <c r="L18" s="546">
        <v>19.36</v>
      </c>
      <c r="M18" s="338" t="s">
        <v>275</v>
      </c>
      <c r="N18" s="335">
        <f t="shared" si="0"/>
        <v>4.2478586916585739</v>
      </c>
      <c r="O18" s="335">
        <f t="shared" si="1"/>
        <v>5.9300312561730033</v>
      </c>
      <c r="P18" s="335">
        <f t="shared" si="2"/>
        <v>44.552199999999999</v>
      </c>
      <c r="Q18" s="335">
        <f t="shared" si="3"/>
        <v>19.696726189189373</v>
      </c>
      <c r="R18" s="595">
        <v>16</v>
      </c>
    </row>
    <row r="19" spans="1:18">
      <c r="A19" s="607">
        <v>17</v>
      </c>
      <c r="B19" s="806"/>
      <c r="C19" s="593">
        <v>17</v>
      </c>
      <c r="D19" s="542">
        <v>15</v>
      </c>
      <c r="E19" s="367">
        <v>17.73</v>
      </c>
      <c r="F19" s="336" t="s">
        <v>1050</v>
      </c>
      <c r="G19" s="542">
        <v>8</v>
      </c>
      <c r="H19" s="367">
        <v>9.4</v>
      </c>
      <c r="I19" s="367">
        <v>38.72</v>
      </c>
      <c r="J19" s="367">
        <v>46.88</v>
      </c>
      <c r="K19" s="367">
        <v>29.15</v>
      </c>
      <c r="L19" s="546">
        <v>19.36</v>
      </c>
      <c r="M19" s="338" t="s">
        <v>275</v>
      </c>
      <c r="N19" s="335">
        <f t="shared" si="0"/>
        <v>4.4585890183238472</v>
      </c>
      <c r="O19" s="335">
        <f t="shared" si="1"/>
        <v>6.2209708134252466</v>
      </c>
      <c r="P19" s="335">
        <f t="shared" si="2"/>
        <v>44.119288888888889</v>
      </c>
      <c r="Q19" s="335">
        <f t="shared" si="3"/>
        <v>19.617916248509303</v>
      </c>
      <c r="R19" s="595">
        <v>17</v>
      </c>
    </row>
    <row r="20" spans="1:18">
      <c r="A20" s="607">
        <v>18</v>
      </c>
      <c r="B20" s="806"/>
      <c r="C20" s="593">
        <v>18</v>
      </c>
      <c r="D20" s="542">
        <v>15</v>
      </c>
      <c r="E20" s="367">
        <v>17.73</v>
      </c>
      <c r="F20" s="336" t="s">
        <v>1051</v>
      </c>
      <c r="G20" s="542">
        <v>10</v>
      </c>
      <c r="H20" s="367">
        <v>12</v>
      </c>
      <c r="I20" s="367">
        <v>38.72</v>
      </c>
      <c r="J20" s="367">
        <v>46.96</v>
      </c>
      <c r="K20" s="367">
        <v>29.23</v>
      </c>
      <c r="L20" s="546">
        <v>19.36</v>
      </c>
      <c r="M20" s="338" t="s">
        <v>275</v>
      </c>
      <c r="N20" s="335">
        <f t="shared" si="0"/>
        <v>4.7428413397293818</v>
      </c>
      <c r="O20" s="335">
        <f t="shared" si="1"/>
        <v>6.6599147571222561</v>
      </c>
      <c r="P20" s="335">
        <f t="shared" si="2"/>
        <v>44.194577777777781</v>
      </c>
      <c r="Q20" s="335">
        <f t="shared" si="3"/>
        <v>19.756706547991591</v>
      </c>
      <c r="R20" s="595">
        <v>18</v>
      </c>
    </row>
    <row r="21" spans="1:18">
      <c r="A21" s="607">
        <v>19</v>
      </c>
      <c r="B21" s="806"/>
      <c r="C21" s="593">
        <v>19</v>
      </c>
      <c r="D21" s="542">
        <v>15</v>
      </c>
      <c r="E21" s="367">
        <v>17.73</v>
      </c>
      <c r="F21" s="336" t="s">
        <v>1052</v>
      </c>
      <c r="G21" s="542">
        <v>12</v>
      </c>
      <c r="H21" s="367">
        <v>14.58</v>
      </c>
      <c r="I21" s="367">
        <v>38.72</v>
      </c>
      <c r="J21" s="367">
        <v>47.24</v>
      </c>
      <c r="K21" s="367">
        <v>29.51</v>
      </c>
      <c r="L21" s="546">
        <v>19.36</v>
      </c>
      <c r="M21" s="338" t="s">
        <v>275</v>
      </c>
      <c r="N21" s="335">
        <f t="shared" si="0"/>
        <v>5.1057425605529119</v>
      </c>
      <c r="O21" s="335">
        <f t="shared" si="1"/>
        <v>7.2240073366659265</v>
      </c>
      <c r="P21" s="335">
        <f t="shared" si="2"/>
        <v>44.458088888888888</v>
      </c>
      <c r="Q21" s="335">
        <f t="shared" si="3"/>
        <v>19.999375181442097</v>
      </c>
      <c r="R21" s="595">
        <v>19</v>
      </c>
    </row>
    <row r="22" spans="1:18">
      <c r="A22" s="607">
        <v>20</v>
      </c>
      <c r="B22" s="806"/>
      <c r="C22" s="593">
        <v>20</v>
      </c>
      <c r="D22" s="542">
        <v>18</v>
      </c>
      <c r="E22" s="367">
        <v>21.45</v>
      </c>
      <c r="F22" s="336" t="s">
        <v>1053</v>
      </c>
      <c r="G22" s="542">
        <v>4</v>
      </c>
      <c r="H22" s="367">
        <v>4.75</v>
      </c>
      <c r="I22" s="367">
        <v>41.48</v>
      </c>
      <c r="J22" s="367">
        <v>50.89</v>
      </c>
      <c r="K22" s="367">
        <v>29.44</v>
      </c>
      <c r="L22" s="546">
        <v>20.74</v>
      </c>
      <c r="M22" s="338" t="s">
        <v>275</v>
      </c>
      <c r="N22" s="335">
        <f t="shared" si="0"/>
        <v>6.2352614748019084</v>
      </c>
      <c r="O22" s="335">
        <f t="shared" si="1"/>
        <v>8.8532470352086854</v>
      </c>
      <c r="P22" s="335">
        <f t="shared" si="2"/>
        <v>51.307015277777772</v>
      </c>
      <c r="Q22" s="335">
        <f t="shared" si="3"/>
        <v>23.216768771829543</v>
      </c>
      <c r="R22" s="595">
        <v>20</v>
      </c>
    </row>
    <row r="23" spans="1:18">
      <c r="A23" s="607">
        <v>21</v>
      </c>
      <c r="B23" s="806"/>
      <c r="C23" s="593">
        <v>21</v>
      </c>
      <c r="D23" s="542">
        <v>18</v>
      </c>
      <c r="E23" s="367">
        <v>21.45</v>
      </c>
      <c r="F23" s="336" t="s">
        <v>1054</v>
      </c>
      <c r="G23" s="542">
        <v>6</v>
      </c>
      <c r="H23" s="367">
        <v>7.05</v>
      </c>
      <c r="I23" s="367">
        <v>41.48</v>
      </c>
      <c r="J23" s="367">
        <v>51.06</v>
      </c>
      <c r="K23" s="367">
        <v>29.61</v>
      </c>
      <c r="L23" s="546">
        <v>20.74</v>
      </c>
      <c r="M23" s="338" t="s">
        <v>275</v>
      </c>
      <c r="N23" s="335">
        <f t="shared" si="0"/>
        <v>6.3965771670200926</v>
      </c>
      <c r="O23" s="335">
        <f t="shared" si="1"/>
        <v>9.0722181452857154</v>
      </c>
      <c r="P23" s="335">
        <f t="shared" si="2"/>
        <v>51.478408333333334</v>
      </c>
      <c r="Q23" s="335">
        <f t="shared" si="3"/>
        <v>23.359053242239142</v>
      </c>
      <c r="R23" s="595">
        <v>21</v>
      </c>
    </row>
    <row r="24" spans="1:18">
      <c r="A24" s="607">
        <v>22</v>
      </c>
      <c r="B24" s="806"/>
      <c r="C24" s="593">
        <v>22</v>
      </c>
      <c r="D24" s="542">
        <v>18</v>
      </c>
      <c r="E24" s="367">
        <v>21.45</v>
      </c>
      <c r="F24" s="336" t="s">
        <v>1055</v>
      </c>
      <c r="G24" s="542">
        <v>8</v>
      </c>
      <c r="H24" s="367">
        <v>9.4</v>
      </c>
      <c r="I24" s="367">
        <v>41.48</v>
      </c>
      <c r="J24" s="367">
        <v>50.6</v>
      </c>
      <c r="K24" s="367">
        <v>29.15</v>
      </c>
      <c r="L24" s="546">
        <v>20.74</v>
      </c>
      <c r="M24" s="338" t="s">
        <v>275</v>
      </c>
      <c r="N24" s="335">
        <f t="shared" si="0"/>
        <v>6.6073074936853669</v>
      </c>
      <c r="O24" s="335">
        <f t="shared" si="1"/>
        <v>9.3631577025379578</v>
      </c>
      <c r="P24" s="335">
        <f t="shared" si="2"/>
        <v>51.014638888888889</v>
      </c>
      <c r="Q24" s="335">
        <f t="shared" si="3"/>
        <v>23.267899968225741</v>
      </c>
      <c r="R24" s="595">
        <v>22</v>
      </c>
    </row>
    <row r="25" spans="1:18">
      <c r="A25" s="607">
        <v>23</v>
      </c>
      <c r="B25" s="806"/>
      <c r="C25" s="593">
        <v>23</v>
      </c>
      <c r="D25" s="542">
        <v>18</v>
      </c>
      <c r="E25" s="367">
        <v>21.45</v>
      </c>
      <c r="F25" s="336" t="s">
        <v>1056</v>
      </c>
      <c r="G25" s="542">
        <v>10</v>
      </c>
      <c r="H25" s="367">
        <v>12</v>
      </c>
      <c r="I25" s="367">
        <v>41.48</v>
      </c>
      <c r="J25" s="367">
        <v>50.68</v>
      </c>
      <c r="K25" s="367">
        <v>29.23</v>
      </c>
      <c r="L25" s="546">
        <v>20.74</v>
      </c>
      <c r="M25" s="338" t="s">
        <v>275</v>
      </c>
      <c r="N25" s="335">
        <f t="shared" si="0"/>
        <v>6.8915598150909014</v>
      </c>
      <c r="O25" s="335">
        <f t="shared" si="1"/>
        <v>9.8021016462349682</v>
      </c>
      <c r="P25" s="335">
        <f t="shared" si="2"/>
        <v>51.095294444444434</v>
      </c>
      <c r="Q25" s="335">
        <f t="shared" si="3"/>
        <v>23.408836934374687</v>
      </c>
      <c r="R25" s="595">
        <v>23</v>
      </c>
    </row>
    <row r="26" spans="1:18">
      <c r="A26" s="607">
        <v>24</v>
      </c>
      <c r="B26" s="806"/>
      <c r="C26" s="593">
        <v>24</v>
      </c>
      <c r="D26" s="542">
        <v>18</v>
      </c>
      <c r="E26" s="367">
        <v>21.45</v>
      </c>
      <c r="F26" s="336" t="s">
        <v>1057</v>
      </c>
      <c r="G26" s="542">
        <v>12</v>
      </c>
      <c r="H26" s="367">
        <v>14.58</v>
      </c>
      <c r="I26" s="367">
        <v>41.48</v>
      </c>
      <c r="J26" s="335">
        <v>50.96</v>
      </c>
      <c r="K26" s="367">
        <v>29.51</v>
      </c>
      <c r="L26" s="546">
        <v>20.74</v>
      </c>
      <c r="M26" s="338" t="s">
        <v>275</v>
      </c>
      <c r="N26" s="335">
        <f t="shared" si="0"/>
        <v>7.2544610359144306</v>
      </c>
      <c r="O26" s="335">
        <f t="shared" si="1"/>
        <v>10.366194225778639</v>
      </c>
      <c r="P26" s="335">
        <f t="shared" si="2"/>
        <v>51.377588888888887</v>
      </c>
      <c r="Q26" s="335">
        <f t="shared" si="3"/>
        <v>23.659018901158532</v>
      </c>
      <c r="R26" s="595">
        <v>24</v>
      </c>
    </row>
    <row r="27" spans="1:18">
      <c r="A27" s="607">
        <v>25</v>
      </c>
      <c r="B27" s="806"/>
      <c r="C27" s="593">
        <v>25</v>
      </c>
      <c r="D27" s="542">
        <v>24</v>
      </c>
      <c r="E27" s="367">
        <v>28.2</v>
      </c>
      <c r="F27" s="336" t="s">
        <v>1058</v>
      </c>
      <c r="G27" s="542">
        <v>4</v>
      </c>
      <c r="H27" s="367">
        <v>4.75</v>
      </c>
      <c r="I27" s="367">
        <v>39.340000000000003</v>
      </c>
      <c r="J27" s="335">
        <v>57.64</v>
      </c>
      <c r="K27" s="367">
        <v>29.44</v>
      </c>
      <c r="L27" s="546">
        <v>19.670000000000002</v>
      </c>
      <c r="M27" s="338" t="s">
        <v>275</v>
      </c>
      <c r="N27" s="335">
        <f t="shared" si="0"/>
        <v>10.426015174996794</v>
      </c>
      <c r="O27" s="335">
        <f t="shared" si="1"/>
        <v>14.398162568471648</v>
      </c>
      <c r="P27" s="335">
        <f t="shared" si="2"/>
        <v>55.114247222222232</v>
      </c>
      <c r="Q27" s="335">
        <f t="shared" si="3"/>
        <v>26.712449036497027</v>
      </c>
      <c r="R27" s="595">
        <v>25</v>
      </c>
    </row>
    <row r="28" spans="1:18">
      <c r="A28" s="607">
        <v>26</v>
      </c>
      <c r="B28" s="806"/>
      <c r="C28" s="593">
        <v>26</v>
      </c>
      <c r="D28" s="542">
        <v>24</v>
      </c>
      <c r="E28" s="367">
        <v>28.2</v>
      </c>
      <c r="F28" s="336" t="s">
        <v>1059</v>
      </c>
      <c r="G28" s="542">
        <v>6</v>
      </c>
      <c r="H28" s="367">
        <v>7.05</v>
      </c>
      <c r="I28" s="367">
        <v>39.340000000000003</v>
      </c>
      <c r="J28" s="335">
        <v>57.81</v>
      </c>
      <c r="K28" s="367">
        <v>29.61</v>
      </c>
      <c r="L28" s="546">
        <v>19.670000000000002</v>
      </c>
      <c r="M28" s="338" t="s">
        <v>275</v>
      </c>
      <c r="N28" s="335">
        <f t="shared" si="0"/>
        <v>10.587330867214979</v>
      </c>
      <c r="O28" s="335">
        <f t="shared" si="1"/>
        <v>14.617133678548678</v>
      </c>
      <c r="P28" s="335">
        <f t="shared" si="2"/>
        <v>55.276797916666681</v>
      </c>
      <c r="Q28" s="335">
        <f t="shared" si="3"/>
        <v>26.851196562462178</v>
      </c>
      <c r="R28" s="595">
        <v>26</v>
      </c>
    </row>
    <row r="29" spans="1:18">
      <c r="A29" s="607">
        <v>27</v>
      </c>
      <c r="B29" s="806"/>
      <c r="C29" s="593">
        <v>27</v>
      </c>
      <c r="D29" s="542">
        <v>24</v>
      </c>
      <c r="E29" s="367">
        <v>28.2</v>
      </c>
      <c r="F29" s="336" t="s">
        <v>1060</v>
      </c>
      <c r="G29" s="542">
        <v>8</v>
      </c>
      <c r="H29" s="367">
        <v>9.4</v>
      </c>
      <c r="I29" s="367">
        <v>39.299999999999997</v>
      </c>
      <c r="J29" s="335">
        <v>57.35</v>
      </c>
      <c r="K29" s="367">
        <v>29.15</v>
      </c>
      <c r="L29" s="546">
        <v>19.670000000000002</v>
      </c>
      <c r="M29" s="338" t="s">
        <v>275</v>
      </c>
      <c r="N29" s="335">
        <f t="shared" si="0"/>
        <v>10.787589218368284</v>
      </c>
      <c r="O29" s="335">
        <f t="shared" si="1"/>
        <v>14.893615364609712</v>
      </c>
      <c r="P29" s="335">
        <f t="shared" si="2"/>
        <v>54.78119791666667</v>
      </c>
      <c r="Q29" s="335">
        <f t="shared" si="3"/>
        <v>26.742622239191064</v>
      </c>
      <c r="R29" s="595">
        <v>27</v>
      </c>
    </row>
    <row r="30" spans="1:18">
      <c r="A30" s="607">
        <v>28</v>
      </c>
      <c r="B30" s="806"/>
      <c r="C30" s="593">
        <v>28</v>
      </c>
      <c r="D30" s="542">
        <v>24</v>
      </c>
      <c r="E30" s="367">
        <v>28.2</v>
      </c>
      <c r="F30" s="336" t="s">
        <v>1061</v>
      </c>
      <c r="G30" s="542">
        <v>10</v>
      </c>
      <c r="H30" s="367">
        <v>12</v>
      </c>
      <c r="I30" s="367">
        <v>39.340000000000003</v>
      </c>
      <c r="J30" s="335">
        <v>57.43</v>
      </c>
      <c r="K30" s="367">
        <v>29.23</v>
      </c>
      <c r="L30" s="546">
        <v>19.670000000000002</v>
      </c>
      <c r="M30" s="338" t="s">
        <v>275</v>
      </c>
      <c r="N30" s="335">
        <f t="shared" si="0"/>
        <v>11.082313515285787</v>
      </c>
      <c r="O30" s="335">
        <f t="shared" si="1"/>
        <v>15.34701717949793</v>
      </c>
      <c r="P30" s="335">
        <f t="shared" si="2"/>
        <v>54.913449305555559</v>
      </c>
      <c r="Q30" s="335">
        <f t="shared" si="3"/>
        <v>26.908886365708838</v>
      </c>
      <c r="R30" s="595">
        <v>28</v>
      </c>
    </row>
    <row r="31" spans="1:18" ht="15.75" thickBot="1">
      <c r="A31" s="607">
        <v>29</v>
      </c>
      <c r="B31" s="807"/>
      <c r="C31" s="594">
        <v>29</v>
      </c>
      <c r="D31" s="547">
        <v>24</v>
      </c>
      <c r="E31" s="548">
        <v>28.2</v>
      </c>
      <c r="F31" s="336" t="s">
        <v>1062</v>
      </c>
      <c r="G31" s="551">
        <v>12</v>
      </c>
      <c r="H31" s="460">
        <v>14.58</v>
      </c>
      <c r="I31" s="460">
        <v>39.340000000000003</v>
      </c>
      <c r="J31" s="460">
        <v>57.71</v>
      </c>
      <c r="K31" s="460">
        <v>29.51</v>
      </c>
      <c r="L31" s="549">
        <v>19.670000000000002</v>
      </c>
      <c r="M31" s="550" t="s">
        <v>275</v>
      </c>
      <c r="N31" s="460">
        <f t="shared" si="0"/>
        <v>11.445214736109316</v>
      </c>
      <c r="O31" s="460">
        <f t="shared" si="1"/>
        <v>15.911109759041601</v>
      </c>
      <c r="P31" s="460">
        <f t="shared" si="2"/>
        <v>55.181179861111119</v>
      </c>
      <c r="Q31" s="460">
        <f t="shared" si="3"/>
        <v>27.153242776937123</v>
      </c>
      <c r="R31" s="595">
        <v>29</v>
      </c>
    </row>
    <row r="32" spans="1:18">
      <c r="A32" s="607">
        <v>30</v>
      </c>
      <c r="B32" s="808" t="s">
        <v>1035</v>
      </c>
      <c r="C32" s="552">
        <v>1</v>
      </c>
      <c r="D32" s="328">
        <v>6</v>
      </c>
      <c r="E32" s="329">
        <v>7.05</v>
      </c>
      <c r="F32" s="330" t="s">
        <v>1065</v>
      </c>
      <c r="G32" s="328">
        <v>4</v>
      </c>
      <c r="H32" s="329">
        <v>4.75</v>
      </c>
      <c r="I32" s="367">
        <v>80.260000000000005</v>
      </c>
      <c r="J32" s="367">
        <v>36.49</v>
      </c>
      <c r="K32" s="367">
        <v>29.44</v>
      </c>
      <c r="L32" s="546">
        <v>20.07</v>
      </c>
      <c r="M32" s="556">
        <v>40.119999999999997</v>
      </c>
      <c r="N32" s="367">
        <f t="shared" ref="N32:N60" si="4">PI()*D32^2/4*I32/1728+2*PI()*G32^2/4*(K32-12)/1728</f>
        <v>1.5669056970039927</v>
      </c>
      <c r="O32" s="367">
        <f t="shared" ref="O32:O60" si="5">PI()*E32^2/4*I32/1728+2*PI()*H32^2/4*(K32-12)/1728</f>
        <v>2.1707999129095406</v>
      </c>
      <c r="P32" s="367">
        <f t="shared" ref="P32:P93" si="6">42*I32*J32/1728</f>
        <v>71.18337430555556</v>
      </c>
      <c r="Q32" s="367">
        <f t="shared" ref="Q32:Q93" si="7">0.4*(P32-O32)+N32</f>
        <v>29.1719354540624</v>
      </c>
      <c r="R32" s="595">
        <v>30</v>
      </c>
    </row>
    <row r="33" spans="1:18">
      <c r="A33" s="607">
        <v>31</v>
      </c>
      <c r="B33" s="809"/>
      <c r="C33" s="553">
        <v>2</v>
      </c>
      <c r="D33" s="542">
        <v>6</v>
      </c>
      <c r="E33" s="367">
        <v>7.05</v>
      </c>
      <c r="F33" s="336" t="s">
        <v>1066</v>
      </c>
      <c r="G33" s="542">
        <v>6</v>
      </c>
      <c r="H33" s="367">
        <v>7.05</v>
      </c>
      <c r="I33" s="367">
        <v>80.260000000000005</v>
      </c>
      <c r="J33" s="367">
        <v>36.659999999999997</v>
      </c>
      <c r="K33" s="367">
        <v>29.61</v>
      </c>
      <c r="L33" s="546">
        <v>20.07</v>
      </c>
      <c r="M33" s="556">
        <v>40.119999999999997</v>
      </c>
      <c r="N33" s="335">
        <f t="shared" si="4"/>
        <v>1.8895370814403611</v>
      </c>
      <c r="O33" s="335">
        <f t="shared" si="5"/>
        <v>2.6087421330635983</v>
      </c>
      <c r="P33" s="335">
        <f t="shared" si="6"/>
        <v>71.515004166666657</v>
      </c>
      <c r="Q33" s="335">
        <f t="shared" si="7"/>
        <v>29.452041894881585</v>
      </c>
      <c r="R33" s="595">
        <v>31</v>
      </c>
    </row>
    <row r="34" spans="1:18">
      <c r="A34" s="607">
        <v>32</v>
      </c>
      <c r="B34" s="809"/>
      <c r="C34" s="553">
        <v>3</v>
      </c>
      <c r="D34" s="542">
        <v>8</v>
      </c>
      <c r="E34" s="367">
        <v>9.4</v>
      </c>
      <c r="F34" s="543" t="s">
        <v>1067</v>
      </c>
      <c r="G34" s="542">
        <v>4</v>
      </c>
      <c r="H34" s="367">
        <v>4.75</v>
      </c>
      <c r="I34" s="367">
        <v>79.680000000000007</v>
      </c>
      <c r="J34" s="367">
        <v>38.74</v>
      </c>
      <c r="K34" s="367">
        <v>29.44</v>
      </c>
      <c r="L34" s="546">
        <v>19.920000000000002</v>
      </c>
      <c r="M34" s="556">
        <v>39.840000000000003</v>
      </c>
      <c r="N34" s="335">
        <f t="shared" si="4"/>
        <v>2.571451764604979</v>
      </c>
      <c r="O34" s="335">
        <f t="shared" si="5"/>
        <v>3.5577013274911526</v>
      </c>
      <c r="P34" s="335">
        <f t="shared" si="6"/>
        <v>75.026466666666678</v>
      </c>
      <c r="Q34" s="335">
        <f t="shared" si="7"/>
        <v>31.15895790027519</v>
      </c>
      <c r="R34" s="595">
        <v>32</v>
      </c>
    </row>
    <row r="35" spans="1:18">
      <c r="A35" s="607">
        <v>33</v>
      </c>
      <c r="B35" s="809"/>
      <c r="C35" s="553">
        <v>4</v>
      </c>
      <c r="D35" s="542">
        <v>8</v>
      </c>
      <c r="E35" s="367">
        <v>9.4</v>
      </c>
      <c r="F35" s="336" t="s">
        <v>1068</v>
      </c>
      <c r="G35" s="542">
        <v>6</v>
      </c>
      <c r="H35" s="367">
        <v>7.05</v>
      </c>
      <c r="I35" s="367">
        <v>79.680000000000007</v>
      </c>
      <c r="J35" s="367">
        <v>39.01</v>
      </c>
      <c r="K35" s="367">
        <v>29.61</v>
      </c>
      <c r="L35" s="546">
        <v>19.920000000000002</v>
      </c>
      <c r="M35" s="556">
        <v>39.840000000000003</v>
      </c>
      <c r="N35" s="335">
        <f t="shared" si="4"/>
        <v>2.8940831490413474</v>
      </c>
      <c r="O35" s="335">
        <f t="shared" si="5"/>
        <v>3.9956435476452108</v>
      </c>
      <c r="P35" s="335">
        <f t="shared" si="6"/>
        <v>75.549366666666671</v>
      </c>
      <c r="Q35" s="335">
        <f t="shared" si="7"/>
        <v>31.515572396649929</v>
      </c>
      <c r="R35" s="595">
        <v>33</v>
      </c>
    </row>
    <row r="36" spans="1:18">
      <c r="A36" s="607">
        <v>34</v>
      </c>
      <c r="B36" s="809"/>
      <c r="C36" s="553">
        <v>5</v>
      </c>
      <c r="D36" s="542">
        <v>8</v>
      </c>
      <c r="E36" s="367">
        <v>9.4</v>
      </c>
      <c r="F36" s="336" t="s">
        <v>1069</v>
      </c>
      <c r="G36" s="542">
        <v>8</v>
      </c>
      <c r="H36" s="367">
        <v>9.4</v>
      </c>
      <c r="I36" s="367">
        <v>79.680000000000007</v>
      </c>
      <c r="J36" s="367">
        <v>38.549999999999997</v>
      </c>
      <c r="K36" s="367">
        <v>29.15</v>
      </c>
      <c r="L36" s="546">
        <v>19.920000000000002</v>
      </c>
      <c r="M36" s="556">
        <v>39.840000000000003</v>
      </c>
      <c r="N36" s="335">
        <f t="shared" si="4"/>
        <v>3.3155438023718946</v>
      </c>
      <c r="O36" s="335">
        <f t="shared" si="5"/>
        <v>4.5775226621496978</v>
      </c>
      <c r="P36" s="335">
        <f t="shared" si="6"/>
        <v>74.658500000000004</v>
      </c>
      <c r="Q36" s="335">
        <f t="shared" si="7"/>
        <v>31.347934737512016</v>
      </c>
      <c r="R36" s="595">
        <v>34</v>
      </c>
    </row>
    <row r="37" spans="1:18">
      <c r="A37" s="607">
        <v>35</v>
      </c>
      <c r="B37" s="809"/>
      <c r="C37" s="553">
        <v>6</v>
      </c>
      <c r="D37" s="542">
        <v>10</v>
      </c>
      <c r="E37" s="367">
        <v>12</v>
      </c>
      <c r="F37" s="336" t="s">
        <v>1070</v>
      </c>
      <c r="G37" s="542">
        <v>4</v>
      </c>
      <c r="H37" s="367">
        <v>4.75</v>
      </c>
      <c r="I37" s="367">
        <v>80</v>
      </c>
      <c r="J37" s="367">
        <v>41.44</v>
      </c>
      <c r="K37" s="367">
        <v>29.44</v>
      </c>
      <c r="L37" s="546">
        <v>20</v>
      </c>
      <c r="M37" s="556">
        <v>40</v>
      </c>
      <c r="N37" s="335">
        <f t="shared" si="4"/>
        <v>3.8897571262780293</v>
      </c>
      <c r="O37" s="335">
        <f t="shared" si="5"/>
        <v>5.5936802598200979</v>
      </c>
      <c r="P37" s="335">
        <f t="shared" si="6"/>
        <v>80.577777777777769</v>
      </c>
      <c r="Q37" s="335">
        <f t="shared" si="7"/>
        <v>33.883396133461098</v>
      </c>
      <c r="R37" s="595">
        <v>35</v>
      </c>
    </row>
    <row r="38" spans="1:18">
      <c r="A38" s="607">
        <v>36</v>
      </c>
      <c r="B38" s="809"/>
      <c r="C38" s="553">
        <v>7</v>
      </c>
      <c r="D38" s="542">
        <v>10</v>
      </c>
      <c r="E38" s="367">
        <v>12</v>
      </c>
      <c r="F38" s="336" t="s">
        <v>1071</v>
      </c>
      <c r="G38" s="542">
        <v>6</v>
      </c>
      <c r="H38" s="367">
        <v>7.05</v>
      </c>
      <c r="I38" s="367">
        <v>80</v>
      </c>
      <c r="J38" s="367">
        <v>41.61</v>
      </c>
      <c r="K38" s="367">
        <v>29.61</v>
      </c>
      <c r="L38" s="546">
        <v>20</v>
      </c>
      <c r="M38" s="556">
        <v>40</v>
      </c>
      <c r="N38" s="335">
        <f t="shared" si="4"/>
        <v>4.2123885107143977</v>
      </c>
      <c r="O38" s="335">
        <f t="shared" si="5"/>
        <v>6.0316224799741551</v>
      </c>
      <c r="P38" s="335">
        <f t="shared" si="6"/>
        <v>80.908333333333331</v>
      </c>
      <c r="Q38" s="335">
        <f t="shared" si="7"/>
        <v>34.163072852058065</v>
      </c>
      <c r="R38" s="595">
        <v>36</v>
      </c>
    </row>
    <row r="39" spans="1:18">
      <c r="A39" s="607">
        <v>37</v>
      </c>
      <c r="B39" s="809"/>
      <c r="C39" s="553">
        <v>8</v>
      </c>
      <c r="D39" s="542">
        <v>10</v>
      </c>
      <c r="E39" s="367">
        <v>12</v>
      </c>
      <c r="F39" s="336" t="s">
        <v>1072</v>
      </c>
      <c r="G39" s="542">
        <v>8</v>
      </c>
      <c r="H39" s="367">
        <v>9.4</v>
      </c>
      <c r="I39" s="367">
        <v>80</v>
      </c>
      <c r="J39" s="367">
        <v>41.15</v>
      </c>
      <c r="K39" s="367">
        <v>29.15</v>
      </c>
      <c r="L39" s="546">
        <v>20</v>
      </c>
      <c r="M39" s="556">
        <v>40</v>
      </c>
      <c r="N39" s="335">
        <f t="shared" si="4"/>
        <v>4.6338491640449444</v>
      </c>
      <c r="O39" s="335">
        <f t="shared" si="5"/>
        <v>6.6135015944786426</v>
      </c>
      <c r="P39" s="335">
        <f t="shared" si="6"/>
        <v>80.013888888888886</v>
      </c>
      <c r="Q39" s="335">
        <f t="shared" si="7"/>
        <v>33.994004081809038</v>
      </c>
      <c r="R39" s="595">
        <v>37</v>
      </c>
    </row>
    <row r="40" spans="1:18">
      <c r="A40" s="607">
        <v>38</v>
      </c>
      <c r="B40" s="809"/>
      <c r="C40" s="553">
        <v>9</v>
      </c>
      <c r="D40" s="542">
        <v>10</v>
      </c>
      <c r="E40" s="367">
        <v>12</v>
      </c>
      <c r="F40" s="336" t="s">
        <v>1073</v>
      </c>
      <c r="G40" s="542">
        <v>10</v>
      </c>
      <c r="H40" s="367">
        <v>12</v>
      </c>
      <c r="I40" s="367">
        <v>80</v>
      </c>
      <c r="J40" s="367">
        <v>41.23</v>
      </c>
      <c r="K40" s="367">
        <v>29.23</v>
      </c>
      <c r="L40" s="546">
        <v>20</v>
      </c>
      <c r="M40" s="556">
        <v>40</v>
      </c>
      <c r="N40" s="335">
        <f t="shared" si="4"/>
        <v>5.2023538068560145</v>
      </c>
      <c r="O40" s="335">
        <f t="shared" si="5"/>
        <v>7.4913894818726607</v>
      </c>
      <c r="P40" s="335">
        <f t="shared" si="6"/>
        <v>80.169444444444437</v>
      </c>
      <c r="Q40" s="335">
        <f t="shared" si="7"/>
        <v>34.273575791884731</v>
      </c>
      <c r="R40" s="595">
        <v>38</v>
      </c>
    </row>
    <row r="41" spans="1:18">
      <c r="A41" s="607">
        <v>39</v>
      </c>
      <c r="B41" s="809"/>
      <c r="C41" s="553">
        <v>10</v>
      </c>
      <c r="D41" s="542">
        <v>12</v>
      </c>
      <c r="E41" s="367">
        <v>14.58</v>
      </c>
      <c r="F41" s="336" t="s">
        <v>1074</v>
      </c>
      <c r="G41" s="542">
        <v>4</v>
      </c>
      <c r="H41" s="367">
        <v>4.75</v>
      </c>
      <c r="I41" s="367">
        <v>78.680000000000007</v>
      </c>
      <c r="J41" s="367">
        <v>44.02</v>
      </c>
      <c r="K41" s="367">
        <v>29.44</v>
      </c>
      <c r="L41" s="546">
        <v>19.670000000000002</v>
      </c>
      <c r="M41" s="556">
        <v>39.340000000000003</v>
      </c>
      <c r="N41" s="335">
        <f t="shared" si="4"/>
        <v>5.4032484759657784</v>
      </c>
      <c r="O41" s="335">
        <f t="shared" si="5"/>
        <v>7.9596518444993434</v>
      </c>
      <c r="P41" s="335">
        <f t="shared" si="6"/>
        <v>84.182136111111134</v>
      </c>
      <c r="Q41" s="335">
        <f t="shared" si="7"/>
        <v>35.892242182610495</v>
      </c>
      <c r="R41" s="595">
        <v>39</v>
      </c>
    </row>
    <row r="42" spans="1:18">
      <c r="A42" s="607">
        <v>40</v>
      </c>
      <c r="B42" s="809"/>
      <c r="C42" s="553">
        <v>11</v>
      </c>
      <c r="D42" s="542">
        <v>12</v>
      </c>
      <c r="E42" s="367">
        <v>14.58</v>
      </c>
      <c r="F42" s="336" t="s">
        <v>1075</v>
      </c>
      <c r="G42" s="542">
        <v>6</v>
      </c>
      <c r="H42" s="367">
        <v>7.05</v>
      </c>
      <c r="I42" s="367">
        <v>78.680000000000007</v>
      </c>
      <c r="J42" s="367">
        <v>44.19</v>
      </c>
      <c r="K42" s="367">
        <v>29.61</v>
      </c>
      <c r="L42" s="546">
        <v>19.670000000000002</v>
      </c>
      <c r="M42" s="556">
        <v>39.340000000000003</v>
      </c>
      <c r="N42" s="335">
        <f t="shared" si="4"/>
        <v>5.7258798604021468</v>
      </c>
      <c r="O42" s="335">
        <f t="shared" si="5"/>
        <v>8.3975940646534006</v>
      </c>
      <c r="P42" s="335">
        <f t="shared" si="6"/>
        <v>84.507237500000002</v>
      </c>
      <c r="Q42" s="335">
        <f t="shared" si="7"/>
        <v>36.16973723454079</v>
      </c>
      <c r="R42" s="595">
        <v>40</v>
      </c>
    </row>
    <row r="43" spans="1:18">
      <c r="A43" s="607">
        <v>41</v>
      </c>
      <c r="B43" s="809"/>
      <c r="C43" s="553">
        <v>12</v>
      </c>
      <c r="D43" s="542">
        <v>12</v>
      </c>
      <c r="E43" s="367">
        <v>14.58</v>
      </c>
      <c r="F43" s="336" t="s">
        <v>1076</v>
      </c>
      <c r="G43" s="542">
        <v>8</v>
      </c>
      <c r="H43" s="367">
        <v>9.4</v>
      </c>
      <c r="I43" s="367">
        <v>78.680000000000007</v>
      </c>
      <c r="J43" s="367">
        <v>43.73</v>
      </c>
      <c r="K43" s="367">
        <v>29.15</v>
      </c>
      <c r="L43" s="546">
        <v>19.670000000000002</v>
      </c>
      <c r="M43" s="556">
        <v>39.340000000000003</v>
      </c>
      <c r="N43" s="335">
        <f t="shared" si="4"/>
        <v>6.1473405137326944</v>
      </c>
      <c r="O43" s="335">
        <f t="shared" si="5"/>
        <v>8.979473179157889</v>
      </c>
      <c r="P43" s="335">
        <f t="shared" si="6"/>
        <v>83.62755138888889</v>
      </c>
      <c r="Q43" s="335">
        <f t="shared" si="7"/>
        <v>36.006571797625092</v>
      </c>
      <c r="R43" s="595">
        <v>41</v>
      </c>
    </row>
    <row r="44" spans="1:18">
      <c r="A44" s="607">
        <v>42</v>
      </c>
      <c r="B44" s="809"/>
      <c r="C44" s="553">
        <v>13</v>
      </c>
      <c r="D44" s="542">
        <v>12</v>
      </c>
      <c r="E44" s="367">
        <v>14.58</v>
      </c>
      <c r="F44" s="336" t="s">
        <v>1077</v>
      </c>
      <c r="G44" s="542">
        <v>10</v>
      </c>
      <c r="H44" s="367">
        <v>12</v>
      </c>
      <c r="I44" s="367">
        <v>78.680000000000007</v>
      </c>
      <c r="J44" s="367">
        <v>43.81</v>
      </c>
      <c r="K44" s="367">
        <v>29.23</v>
      </c>
      <c r="L44" s="546">
        <v>19.670000000000002</v>
      </c>
      <c r="M44" s="556">
        <v>39.340000000000003</v>
      </c>
      <c r="N44" s="335">
        <f t="shared" si="4"/>
        <v>6.7158451565437645</v>
      </c>
      <c r="O44" s="335">
        <f t="shared" si="5"/>
        <v>9.8573610665519062</v>
      </c>
      <c r="P44" s="335">
        <f t="shared" si="6"/>
        <v>83.780540277777789</v>
      </c>
      <c r="Q44" s="335">
        <f t="shared" si="7"/>
        <v>36.285116841034124</v>
      </c>
      <c r="R44" s="595">
        <v>42</v>
      </c>
    </row>
    <row r="45" spans="1:18">
      <c r="A45" s="607">
        <v>43</v>
      </c>
      <c r="B45" s="809"/>
      <c r="C45" s="553">
        <v>14</v>
      </c>
      <c r="D45" s="542">
        <v>12</v>
      </c>
      <c r="E45" s="367">
        <v>14.58</v>
      </c>
      <c r="F45" s="336" t="s">
        <v>1078</v>
      </c>
      <c r="G45" s="542">
        <v>12</v>
      </c>
      <c r="H45" s="367">
        <v>14.58</v>
      </c>
      <c r="I45" s="367">
        <v>78.680000000000007</v>
      </c>
      <c r="J45" s="367">
        <v>44.09</v>
      </c>
      <c r="K45" s="367">
        <v>29.51</v>
      </c>
      <c r="L45" s="546">
        <v>19.670000000000002</v>
      </c>
      <c r="M45" s="556">
        <v>39.340000000000003</v>
      </c>
      <c r="N45" s="335">
        <f t="shared" si="4"/>
        <v>7.4416475981908228</v>
      </c>
      <c r="O45" s="335">
        <f t="shared" si="5"/>
        <v>10.985546225639249</v>
      </c>
      <c r="P45" s="335">
        <f t="shared" si="6"/>
        <v>84.316001388888907</v>
      </c>
      <c r="Q45" s="335">
        <f t="shared" si="7"/>
        <v>36.773829663490687</v>
      </c>
      <c r="R45" s="595">
        <v>43</v>
      </c>
    </row>
    <row r="46" spans="1:18">
      <c r="A46" s="607">
        <v>44</v>
      </c>
      <c r="B46" s="809"/>
      <c r="C46" s="553">
        <v>15</v>
      </c>
      <c r="D46" s="542">
        <v>15</v>
      </c>
      <c r="E46" s="367">
        <v>17.73</v>
      </c>
      <c r="F46" s="336" t="s">
        <v>1079</v>
      </c>
      <c r="G46" s="542">
        <v>4</v>
      </c>
      <c r="H46" s="367">
        <v>4.75</v>
      </c>
      <c r="I46" s="367">
        <v>80</v>
      </c>
      <c r="J46" s="367">
        <v>47.17</v>
      </c>
      <c r="K46" s="367">
        <v>29.44</v>
      </c>
      <c r="L46" s="546">
        <v>20</v>
      </c>
      <c r="M46" s="556">
        <v>40</v>
      </c>
      <c r="N46" s="335">
        <f t="shared" si="4"/>
        <v>8.4348853866799285</v>
      </c>
      <c r="O46" s="335">
        <f t="shared" si="5"/>
        <v>11.787886500071448</v>
      </c>
      <c r="P46" s="335">
        <f t="shared" si="6"/>
        <v>91.719444444444449</v>
      </c>
      <c r="Q46" s="335">
        <f t="shared" si="7"/>
        <v>40.407508564429129</v>
      </c>
      <c r="R46" s="595">
        <v>44</v>
      </c>
    </row>
    <row r="47" spans="1:18">
      <c r="A47" s="607">
        <v>45</v>
      </c>
      <c r="B47" s="809"/>
      <c r="C47" s="553">
        <v>16</v>
      </c>
      <c r="D47" s="542">
        <v>15</v>
      </c>
      <c r="E47" s="367">
        <v>17.73</v>
      </c>
      <c r="F47" s="336" t="s">
        <v>1080</v>
      </c>
      <c r="G47" s="542">
        <v>6</v>
      </c>
      <c r="H47" s="367">
        <v>7.05</v>
      </c>
      <c r="I47" s="367">
        <v>80</v>
      </c>
      <c r="J47" s="367">
        <v>47.34</v>
      </c>
      <c r="K47" s="367">
        <v>29.61</v>
      </c>
      <c r="L47" s="546">
        <v>20</v>
      </c>
      <c r="M47" s="556">
        <v>40</v>
      </c>
      <c r="N47" s="335">
        <f t="shared" si="4"/>
        <v>8.7575167711162969</v>
      </c>
      <c r="O47" s="335">
        <f t="shared" si="5"/>
        <v>12.225828720225506</v>
      </c>
      <c r="P47" s="335">
        <f t="shared" si="6"/>
        <v>92.050000000000011</v>
      </c>
      <c r="Q47" s="335">
        <f t="shared" si="7"/>
        <v>40.687185283026096</v>
      </c>
      <c r="R47" s="595">
        <v>45</v>
      </c>
    </row>
    <row r="48" spans="1:18">
      <c r="A48" s="607">
        <v>46</v>
      </c>
      <c r="B48" s="809"/>
      <c r="C48" s="553">
        <v>17</v>
      </c>
      <c r="D48" s="542">
        <v>15</v>
      </c>
      <c r="E48" s="367">
        <v>17.73</v>
      </c>
      <c r="F48" s="336" t="s">
        <v>1081</v>
      </c>
      <c r="G48" s="542">
        <v>8</v>
      </c>
      <c r="H48" s="367">
        <v>9.4</v>
      </c>
      <c r="I48" s="367">
        <v>80</v>
      </c>
      <c r="J48" s="367">
        <v>46.88</v>
      </c>
      <c r="K48" s="367">
        <v>29.15</v>
      </c>
      <c r="L48" s="546">
        <v>20</v>
      </c>
      <c r="M48" s="556">
        <v>40</v>
      </c>
      <c r="N48" s="335">
        <f t="shared" si="4"/>
        <v>9.1789774244468454</v>
      </c>
      <c r="O48" s="335">
        <f t="shared" si="5"/>
        <v>12.807707834729992</v>
      </c>
      <c r="P48" s="335">
        <f t="shared" si="6"/>
        <v>91.155555555555566</v>
      </c>
      <c r="Q48" s="335">
        <f t="shared" si="7"/>
        <v>40.51811651277707</v>
      </c>
      <c r="R48" s="595">
        <v>46</v>
      </c>
    </row>
    <row r="49" spans="1:18">
      <c r="A49" s="607">
        <v>47</v>
      </c>
      <c r="B49" s="809"/>
      <c r="C49" s="553">
        <v>18</v>
      </c>
      <c r="D49" s="542">
        <v>15</v>
      </c>
      <c r="E49" s="367">
        <v>17.73</v>
      </c>
      <c r="F49" s="336" t="s">
        <v>1082</v>
      </c>
      <c r="G49" s="542">
        <v>10</v>
      </c>
      <c r="H49" s="367">
        <v>12</v>
      </c>
      <c r="I49" s="367">
        <v>80</v>
      </c>
      <c r="J49" s="367">
        <v>46.96</v>
      </c>
      <c r="K49" s="367">
        <v>29.23</v>
      </c>
      <c r="L49" s="546">
        <v>20</v>
      </c>
      <c r="M49" s="556">
        <v>40</v>
      </c>
      <c r="N49" s="335">
        <f t="shared" si="4"/>
        <v>9.7474820672579146</v>
      </c>
      <c r="O49" s="335">
        <f t="shared" si="5"/>
        <v>13.685595722124011</v>
      </c>
      <c r="P49" s="335">
        <f t="shared" si="6"/>
        <v>91.311111111111117</v>
      </c>
      <c r="Q49" s="335">
        <f t="shared" si="7"/>
        <v>40.797688222852763</v>
      </c>
      <c r="R49" s="595">
        <v>47</v>
      </c>
    </row>
    <row r="50" spans="1:18">
      <c r="A50" s="607">
        <v>48</v>
      </c>
      <c r="B50" s="809"/>
      <c r="C50" s="553">
        <v>19</v>
      </c>
      <c r="D50" s="542">
        <v>15</v>
      </c>
      <c r="E50" s="367">
        <v>17.73</v>
      </c>
      <c r="F50" s="336" t="s">
        <v>1083</v>
      </c>
      <c r="G50" s="542">
        <v>12</v>
      </c>
      <c r="H50" s="367">
        <v>14.58</v>
      </c>
      <c r="I50" s="367">
        <v>80</v>
      </c>
      <c r="J50" s="367">
        <v>47.24</v>
      </c>
      <c r="K50" s="367">
        <v>29.51</v>
      </c>
      <c r="L50" s="546">
        <v>20</v>
      </c>
      <c r="M50" s="556">
        <v>40</v>
      </c>
      <c r="N50" s="335">
        <f t="shared" si="4"/>
        <v>10.473284508904973</v>
      </c>
      <c r="O50" s="335">
        <f t="shared" si="5"/>
        <v>14.813780881211352</v>
      </c>
      <c r="P50" s="335">
        <f t="shared" si="6"/>
        <v>91.855555555555554</v>
      </c>
      <c r="Q50" s="335">
        <f t="shared" si="7"/>
        <v>41.289994378642653</v>
      </c>
      <c r="R50" s="595">
        <v>48</v>
      </c>
    </row>
    <row r="51" spans="1:18">
      <c r="A51" s="607">
        <v>49</v>
      </c>
      <c r="B51" s="809"/>
      <c r="C51" s="553">
        <v>20</v>
      </c>
      <c r="D51" s="542">
        <v>18</v>
      </c>
      <c r="E51" s="367">
        <v>21.45</v>
      </c>
      <c r="F51" s="336" t="s">
        <v>1084</v>
      </c>
      <c r="G51" s="542">
        <v>4</v>
      </c>
      <c r="H51" s="367">
        <v>4.75</v>
      </c>
      <c r="I51" s="367">
        <v>80</v>
      </c>
      <c r="J51" s="367">
        <v>50.89</v>
      </c>
      <c r="K51" s="367">
        <v>29.44</v>
      </c>
      <c r="L51" s="546">
        <v>20</v>
      </c>
      <c r="M51" s="556">
        <v>40</v>
      </c>
      <c r="N51" s="335">
        <f t="shared" si="4"/>
        <v>12.034626968918232</v>
      </c>
      <c r="O51" s="335">
        <f t="shared" si="5"/>
        <v>17.087491507289627</v>
      </c>
      <c r="P51" s="335">
        <f t="shared" si="6"/>
        <v>98.952777777777769</v>
      </c>
      <c r="Q51" s="335">
        <f t="shared" si="7"/>
        <v>44.780741477113487</v>
      </c>
      <c r="R51" s="595">
        <v>49</v>
      </c>
    </row>
    <row r="52" spans="1:18">
      <c r="A52" s="607">
        <v>50</v>
      </c>
      <c r="B52" s="809"/>
      <c r="C52" s="553">
        <v>21</v>
      </c>
      <c r="D52" s="542">
        <v>18</v>
      </c>
      <c r="E52" s="367">
        <v>21.45</v>
      </c>
      <c r="F52" s="336" t="s">
        <v>1085</v>
      </c>
      <c r="G52" s="542">
        <v>6</v>
      </c>
      <c r="H52" s="367">
        <v>7.05</v>
      </c>
      <c r="I52" s="367">
        <v>80</v>
      </c>
      <c r="J52" s="367">
        <v>51.06</v>
      </c>
      <c r="K52" s="367">
        <v>29.61</v>
      </c>
      <c r="L52" s="546">
        <v>20</v>
      </c>
      <c r="M52" s="556">
        <v>40</v>
      </c>
      <c r="N52" s="335">
        <f t="shared" si="4"/>
        <v>12.357258353354601</v>
      </c>
      <c r="O52" s="335">
        <f t="shared" si="5"/>
        <v>17.525433727443687</v>
      </c>
      <c r="P52" s="335">
        <f t="shared" si="6"/>
        <v>99.283333333333331</v>
      </c>
      <c r="Q52" s="335">
        <f t="shared" si="7"/>
        <v>45.060418195710461</v>
      </c>
      <c r="R52" s="595">
        <v>50</v>
      </c>
    </row>
    <row r="53" spans="1:18">
      <c r="A53" s="607">
        <v>51</v>
      </c>
      <c r="B53" s="809"/>
      <c r="C53" s="553">
        <v>22</v>
      </c>
      <c r="D53" s="542">
        <v>18</v>
      </c>
      <c r="E53" s="367">
        <v>21.45</v>
      </c>
      <c r="F53" s="336" t="s">
        <v>1086</v>
      </c>
      <c r="G53" s="542">
        <v>8</v>
      </c>
      <c r="H53" s="367">
        <v>9.4</v>
      </c>
      <c r="I53" s="367">
        <v>80</v>
      </c>
      <c r="J53" s="367">
        <v>50.6</v>
      </c>
      <c r="K53" s="367">
        <v>29.15</v>
      </c>
      <c r="L53" s="546">
        <v>20</v>
      </c>
      <c r="M53" s="556">
        <v>40</v>
      </c>
      <c r="N53" s="335">
        <f t="shared" si="4"/>
        <v>12.778719006685147</v>
      </c>
      <c r="O53" s="335">
        <f t="shared" si="5"/>
        <v>18.107312841948172</v>
      </c>
      <c r="P53" s="335">
        <f t="shared" si="6"/>
        <v>98.388888888888886</v>
      </c>
      <c r="Q53" s="335">
        <f t="shared" si="7"/>
        <v>44.891349425461428</v>
      </c>
      <c r="R53" s="595">
        <v>51</v>
      </c>
    </row>
    <row r="54" spans="1:18">
      <c r="A54" s="607">
        <v>52</v>
      </c>
      <c r="B54" s="809"/>
      <c r="C54" s="553">
        <v>23</v>
      </c>
      <c r="D54" s="542">
        <v>18</v>
      </c>
      <c r="E54" s="367">
        <v>21.45</v>
      </c>
      <c r="F54" s="336" t="s">
        <v>1087</v>
      </c>
      <c r="G54" s="542">
        <v>10</v>
      </c>
      <c r="H54" s="367">
        <v>12</v>
      </c>
      <c r="I54" s="367">
        <v>80</v>
      </c>
      <c r="J54" s="367">
        <v>50.68</v>
      </c>
      <c r="K54" s="367">
        <v>29.23</v>
      </c>
      <c r="L54" s="546">
        <v>20</v>
      </c>
      <c r="M54" s="556">
        <v>40</v>
      </c>
      <c r="N54" s="335">
        <f t="shared" si="4"/>
        <v>13.347223649496218</v>
      </c>
      <c r="O54" s="335">
        <f t="shared" si="5"/>
        <v>18.985200729342193</v>
      </c>
      <c r="P54" s="335">
        <f t="shared" si="6"/>
        <v>98.544444444444437</v>
      </c>
      <c r="Q54" s="335">
        <f t="shared" si="7"/>
        <v>45.170921135537114</v>
      </c>
      <c r="R54" s="595">
        <v>52</v>
      </c>
    </row>
    <row r="55" spans="1:18">
      <c r="A55" s="607">
        <v>53</v>
      </c>
      <c r="B55" s="809"/>
      <c r="C55" s="553">
        <v>24</v>
      </c>
      <c r="D55" s="542">
        <v>18</v>
      </c>
      <c r="E55" s="367">
        <v>21.45</v>
      </c>
      <c r="F55" s="336" t="s">
        <v>1088</v>
      </c>
      <c r="G55" s="542">
        <v>12</v>
      </c>
      <c r="H55" s="367">
        <v>14.58</v>
      </c>
      <c r="I55" s="335">
        <v>80</v>
      </c>
      <c r="J55" s="335">
        <v>50.96</v>
      </c>
      <c r="K55" s="367">
        <v>29.51</v>
      </c>
      <c r="L55" s="337">
        <v>20</v>
      </c>
      <c r="M55" s="557">
        <v>40</v>
      </c>
      <c r="N55" s="335">
        <f t="shared" si="4"/>
        <v>14.073026091143277</v>
      </c>
      <c r="O55" s="335">
        <f t="shared" si="5"/>
        <v>20.113385888429534</v>
      </c>
      <c r="P55" s="335">
        <f t="shared" si="6"/>
        <v>99.088888888888889</v>
      </c>
      <c r="Q55" s="335">
        <f t="shared" si="7"/>
        <v>45.663227291327019</v>
      </c>
      <c r="R55" s="595">
        <v>53</v>
      </c>
    </row>
    <row r="56" spans="1:18">
      <c r="A56" s="607">
        <v>54</v>
      </c>
      <c r="B56" s="809"/>
      <c r="C56" s="553">
        <v>25</v>
      </c>
      <c r="D56" s="542">
        <v>24</v>
      </c>
      <c r="E56" s="367">
        <v>28.2</v>
      </c>
      <c r="F56" s="336" t="s">
        <v>1089</v>
      </c>
      <c r="G56" s="542">
        <v>4</v>
      </c>
      <c r="H56" s="367">
        <v>4.75</v>
      </c>
      <c r="I56" s="335">
        <v>78.69</v>
      </c>
      <c r="J56" s="335">
        <v>57.64</v>
      </c>
      <c r="K56" s="367">
        <v>29.44</v>
      </c>
      <c r="L56" s="337">
        <v>19.670000000000002</v>
      </c>
      <c r="M56" s="557">
        <v>39.35</v>
      </c>
      <c r="N56" s="335">
        <f t="shared" si="4"/>
        <v>20.854648343871578</v>
      </c>
      <c r="O56" s="335">
        <f t="shared" si="5"/>
        <v>28.799939604741095</v>
      </c>
      <c r="P56" s="335">
        <f t="shared" si="6"/>
        <v>110.24250416666666</v>
      </c>
      <c r="Q56" s="335">
        <f t="shared" si="7"/>
        <v>53.431674168641806</v>
      </c>
      <c r="R56" s="595">
        <v>54</v>
      </c>
    </row>
    <row r="57" spans="1:18">
      <c r="A57" s="607">
        <v>55</v>
      </c>
      <c r="B57" s="809"/>
      <c r="C57" s="553">
        <v>26</v>
      </c>
      <c r="D57" s="542">
        <v>24</v>
      </c>
      <c r="E57" s="367">
        <v>28.2</v>
      </c>
      <c r="F57" s="336" t="s">
        <v>1090</v>
      </c>
      <c r="G57" s="542">
        <v>6</v>
      </c>
      <c r="H57" s="367">
        <v>7.05</v>
      </c>
      <c r="I57" s="335">
        <v>78.69</v>
      </c>
      <c r="J57" s="335">
        <v>57.81</v>
      </c>
      <c r="K57" s="367">
        <v>29.61</v>
      </c>
      <c r="L57" s="337">
        <v>19.670000000000002</v>
      </c>
      <c r="M57" s="557">
        <v>39.35</v>
      </c>
      <c r="N57" s="335">
        <f t="shared" si="4"/>
        <v>21.177279728307948</v>
      </c>
      <c r="O57" s="335">
        <f t="shared" si="5"/>
        <v>29.237881824895155</v>
      </c>
      <c r="P57" s="335">
        <f t="shared" si="6"/>
        <v>110.56764687500001</v>
      </c>
      <c r="Q57" s="335">
        <f t="shared" si="7"/>
        <v>53.709185748349896</v>
      </c>
      <c r="R57" s="595">
        <v>55</v>
      </c>
    </row>
    <row r="58" spans="1:18">
      <c r="A58" s="607">
        <v>56</v>
      </c>
      <c r="B58" s="809"/>
      <c r="C58" s="553">
        <v>27</v>
      </c>
      <c r="D58" s="542">
        <v>24</v>
      </c>
      <c r="E58" s="367">
        <v>28.2</v>
      </c>
      <c r="F58" s="336" t="s">
        <v>1091</v>
      </c>
      <c r="G58" s="542">
        <v>8</v>
      </c>
      <c r="H58" s="367">
        <v>9.4</v>
      </c>
      <c r="I58" s="335">
        <v>78.69</v>
      </c>
      <c r="J58" s="335">
        <v>57.35</v>
      </c>
      <c r="K58" s="367">
        <v>29.15</v>
      </c>
      <c r="L58" s="337">
        <v>19.670000000000002</v>
      </c>
      <c r="M58" s="557">
        <v>39.35</v>
      </c>
      <c r="N58" s="335">
        <f t="shared" si="4"/>
        <v>21.598740381638493</v>
      </c>
      <c r="O58" s="335">
        <f t="shared" si="5"/>
        <v>29.819760939399643</v>
      </c>
      <c r="P58" s="335">
        <f t="shared" si="6"/>
        <v>109.68784895833333</v>
      </c>
      <c r="Q58" s="335">
        <f t="shared" si="7"/>
        <v>53.54597558921197</v>
      </c>
      <c r="R58" s="595">
        <v>56</v>
      </c>
    </row>
    <row r="59" spans="1:18">
      <c r="A59" s="607">
        <v>57</v>
      </c>
      <c r="B59" s="809"/>
      <c r="C59" s="553">
        <v>28</v>
      </c>
      <c r="D59" s="542">
        <v>24</v>
      </c>
      <c r="E59" s="367">
        <v>28.2</v>
      </c>
      <c r="F59" s="336" t="s">
        <v>1092</v>
      </c>
      <c r="G59" s="542">
        <v>10</v>
      </c>
      <c r="H59" s="367">
        <v>12</v>
      </c>
      <c r="I59" s="335">
        <v>78.69</v>
      </c>
      <c r="J59" s="335">
        <v>57.43</v>
      </c>
      <c r="K59" s="367">
        <v>29.23</v>
      </c>
      <c r="L59" s="337">
        <v>19.670000000000002</v>
      </c>
      <c r="M59" s="557">
        <v>39.35</v>
      </c>
      <c r="N59" s="335">
        <f t="shared" si="4"/>
        <v>22.167245024449564</v>
      </c>
      <c r="O59" s="335">
        <f t="shared" si="5"/>
        <v>30.69764882679366</v>
      </c>
      <c r="P59" s="335">
        <f t="shared" si="6"/>
        <v>109.84085729166667</v>
      </c>
      <c r="Q59" s="335">
        <f t="shared" si="7"/>
        <v>53.824528410398763</v>
      </c>
      <c r="R59" s="595">
        <v>57</v>
      </c>
    </row>
    <row r="60" spans="1:18" ht="15.75" thickBot="1">
      <c r="A60" s="607">
        <v>58</v>
      </c>
      <c r="B60" s="810"/>
      <c r="C60" s="553">
        <v>29</v>
      </c>
      <c r="D60" s="346">
        <v>24</v>
      </c>
      <c r="E60" s="347">
        <v>28.2</v>
      </c>
      <c r="F60" s="360" t="s">
        <v>1093</v>
      </c>
      <c r="G60" s="346">
        <v>12</v>
      </c>
      <c r="H60" s="347">
        <v>14.58</v>
      </c>
      <c r="I60" s="347">
        <v>78.69</v>
      </c>
      <c r="J60" s="347">
        <v>57.71</v>
      </c>
      <c r="K60" s="347">
        <v>29.51</v>
      </c>
      <c r="L60" s="349">
        <v>19.670000000000002</v>
      </c>
      <c r="M60" s="558">
        <v>39.35</v>
      </c>
      <c r="N60" s="342">
        <f t="shared" si="4"/>
        <v>22.893047466096622</v>
      </c>
      <c r="O60" s="342">
        <f t="shared" si="5"/>
        <v>31.825833985881001</v>
      </c>
      <c r="P60" s="342">
        <f t="shared" si="6"/>
        <v>110.37638645833333</v>
      </c>
      <c r="Q60" s="342">
        <f t="shared" si="7"/>
        <v>54.313268455077548</v>
      </c>
      <c r="R60" s="595">
        <v>58</v>
      </c>
    </row>
    <row r="61" spans="1:18" ht="15.75" thickTop="1">
      <c r="A61" s="607">
        <v>59</v>
      </c>
      <c r="B61" s="806" t="s">
        <v>1149</v>
      </c>
      <c r="C61" s="600">
        <v>1</v>
      </c>
      <c r="D61" s="542">
        <v>6</v>
      </c>
      <c r="E61" s="367">
        <v>7.05</v>
      </c>
      <c r="F61" s="543" t="s">
        <v>1150</v>
      </c>
      <c r="G61" s="542">
        <v>4</v>
      </c>
      <c r="H61" s="367">
        <v>4.75</v>
      </c>
      <c r="I61" s="367">
        <v>120</v>
      </c>
      <c r="J61" s="367">
        <v>36.49</v>
      </c>
      <c r="K61" s="367">
        <v>29.44</v>
      </c>
      <c r="L61" s="546">
        <v>20</v>
      </c>
      <c r="M61" s="611">
        <v>40</v>
      </c>
      <c r="N61" s="352">
        <f t="shared" ref="N61:N89" si="8">PI()*D61^2/4*I61/1728+3*PI()*G61^2/4*(K61-12)/1728</f>
        <v>2.3439771854283844</v>
      </c>
      <c r="O61" s="352">
        <f t="shared" ref="O61:O89" si="9">PI()*E61^2/4*I61/1728+3*PI()*H61^2/4*(K61-12)/1728</f>
        <v>3.2473896041071679</v>
      </c>
      <c r="P61" s="352">
        <f t="shared" si="6"/>
        <v>106.42916666666667</v>
      </c>
      <c r="Q61" s="352">
        <f t="shared" si="7"/>
        <v>43.616688010452194</v>
      </c>
      <c r="R61" s="595">
        <v>59</v>
      </c>
    </row>
    <row r="62" spans="1:18">
      <c r="A62" s="607">
        <v>60</v>
      </c>
      <c r="B62" s="806"/>
      <c r="C62" s="593">
        <v>2</v>
      </c>
      <c r="D62" s="542">
        <v>6</v>
      </c>
      <c r="E62" s="367">
        <v>7.05</v>
      </c>
      <c r="F62" s="336" t="s">
        <v>1151</v>
      </c>
      <c r="G62" s="542">
        <v>6</v>
      </c>
      <c r="H62" s="367">
        <v>7.05</v>
      </c>
      <c r="I62" s="335">
        <v>120</v>
      </c>
      <c r="J62" s="367">
        <v>36.659999999999997</v>
      </c>
      <c r="K62" s="367">
        <v>29.61</v>
      </c>
      <c r="L62" s="337">
        <v>20</v>
      </c>
      <c r="M62" s="557">
        <v>40</v>
      </c>
      <c r="N62" s="335">
        <f t="shared" si="8"/>
        <v>2.827924262082937</v>
      </c>
      <c r="O62" s="335">
        <f t="shared" si="9"/>
        <v>3.9043029343382551</v>
      </c>
      <c r="P62" s="335">
        <f t="shared" si="6"/>
        <v>106.925</v>
      </c>
      <c r="Q62" s="335">
        <f t="shared" si="7"/>
        <v>44.036203088347634</v>
      </c>
      <c r="R62" s="595">
        <v>60</v>
      </c>
    </row>
    <row r="63" spans="1:18">
      <c r="A63" s="607">
        <v>61</v>
      </c>
      <c r="B63" s="806"/>
      <c r="C63" s="593">
        <v>3</v>
      </c>
      <c r="D63" s="542">
        <v>8</v>
      </c>
      <c r="E63" s="367">
        <v>9.4</v>
      </c>
      <c r="F63" s="543" t="s">
        <v>1152</v>
      </c>
      <c r="G63" s="542">
        <v>4</v>
      </c>
      <c r="H63" s="367">
        <v>4.75</v>
      </c>
      <c r="I63" s="335">
        <v>119.52</v>
      </c>
      <c r="J63" s="367">
        <v>38.74</v>
      </c>
      <c r="K63" s="367">
        <v>29.44</v>
      </c>
      <c r="L63" s="337">
        <v>19.920000000000002</v>
      </c>
      <c r="M63" s="557">
        <v>39.840000000000003</v>
      </c>
      <c r="N63" s="335">
        <f t="shared" si="8"/>
        <v>3.8571776469074681</v>
      </c>
      <c r="O63" s="335">
        <f t="shared" si="9"/>
        <v>5.3365519912367283</v>
      </c>
      <c r="P63" s="335">
        <f t="shared" si="6"/>
        <v>112.53970000000001</v>
      </c>
      <c r="Q63" s="335">
        <f t="shared" si="7"/>
        <v>46.738436850412782</v>
      </c>
      <c r="R63" s="595">
        <v>61</v>
      </c>
    </row>
    <row r="64" spans="1:18">
      <c r="A64" s="607">
        <v>62</v>
      </c>
      <c r="B64" s="806"/>
      <c r="C64" s="593">
        <v>4</v>
      </c>
      <c r="D64" s="542">
        <v>8</v>
      </c>
      <c r="E64" s="367">
        <v>9.4</v>
      </c>
      <c r="F64" s="336" t="s">
        <v>1153</v>
      </c>
      <c r="G64" s="542">
        <v>6</v>
      </c>
      <c r="H64" s="367">
        <v>7.05</v>
      </c>
      <c r="I64" s="335">
        <v>119.52</v>
      </c>
      <c r="J64" s="367">
        <v>39.01</v>
      </c>
      <c r="K64" s="367">
        <v>29.61</v>
      </c>
      <c r="L64" s="337">
        <v>19.920000000000002</v>
      </c>
      <c r="M64" s="557">
        <v>39.840000000000003</v>
      </c>
      <c r="N64" s="335">
        <f t="shared" si="8"/>
        <v>4.3411247235620207</v>
      </c>
      <c r="O64" s="335">
        <f t="shared" si="9"/>
        <v>5.9934653214678155</v>
      </c>
      <c r="P64" s="335">
        <f t="shared" si="6"/>
        <v>113.32405</v>
      </c>
      <c r="Q64" s="335">
        <f t="shared" si="7"/>
        <v>47.273358594974894</v>
      </c>
      <c r="R64" s="595">
        <v>62</v>
      </c>
    </row>
    <row r="65" spans="1:18">
      <c r="A65" s="607">
        <v>63</v>
      </c>
      <c r="B65" s="806"/>
      <c r="C65" s="593">
        <v>5</v>
      </c>
      <c r="D65" s="542">
        <v>8</v>
      </c>
      <c r="E65" s="367">
        <v>9.4</v>
      </c>
      <c r="F65" s="336" t="s">
        <v>1154</v>
      </c>
      <c r="G65" s="542">
        <v>8</v>
      </c>
      <c r="H65" s="367">
        <v>9.4</v>
      </c>
      <c r="I65" s="335">
        <v>119.52</v>
      </c>
      <c r="J65" s="367">
        <v>38.549999999999997</v>
      </c>
      <c r="K65" s="367">
        <v>29.15</v>
      </c>
      <c r="L65" s="337">
        <v>19.920000000000002</v>
      </c>
      <c r="M65" s="557">
        <v>39.840000000000003</v>
      </c>
      <c r="N65" s="335">
        <f t="shared" si="8"/>
        <v>4.9733157035578417</v>
      </c>
      <c r="O65" s="335">
        <f t="shared" si="9"/>
        <v>6.8662839932245463</v>
      </c>
      <c r="P65" s="335">
        <f t="shared" si="6"/>
        <v>111.98774999999999</v>
      </c>
      <c r="Q65" s="335">
        <f t="shared" si="7"/>
        <v>47.02190210626803</v>
      </c>
      <c r="R65" s="595">
        <v>63</v>
      </c>
    </row>
    <row r="66" spans="1:18">
      <c r="A66" s="607">
        <v>64</v>
      </c>
      <c r="B66" s="806"/>
      <c r="C66" s="593">
        <v>6</v>
      </c>
      <c r="D66" s="542">
        <v>10</v>
      </c>
      <c r="E66" s="367">
        <v>12</v>
      </c>
      <c r="F66" s="336" t="s">
        <v>1155</v>
      </c>
      <c r="G66" s="542">
        <v>4</v>
      </c>
      <c r="H66" s="367">
        <v>4.75</v>
      </c>
      <c r="I66" s="335">
        <v>120</v>
      </c>
      <c r="J66" s="367">
        <v>41.44</v>
      </c>
      <c r="K66" s="367">
        <v>29.44</v>
      </c>
      <c r="L66" s="337">
        <v>20</v>
      </c>
      <c r="M66" s="557">
        <v>40</v>
      </c>
      <c r="N66" s="335">
        <f t="shared" si="8"/>
        <v>5.8346356894170439</v>
      </c>
      <c r="O66" s="335">
        <f t="shared" si="9"/>
        <v>8.3905203897301455</v>
      </c>
      <c r="P66" s="335">
        <f t="shared" si="6"/>
        <v>120.86666666666666</v>
      </c>
      <c r="Q66" s="335">
        <f t="shared" si="7"/>
        <v>50.82509420019165</v>
      </c>
      <c r="R66" s="595">
        <v>64</v>
      </c>
    </row>
    <row r="67" spans="1:18">
      <c r="A67" s="607">
        <v>65</v>
      </c>
      <c r="B67" s="806"/>
      <c r="C67" s="593">
        <v>7</v>
      </c>
      <c r="D67" s="542">
        <v>10</v>
      </c>
      <c r="E67" s="367">
        <v>12</v>
      </c>
      <c r="F67" s="336" t="s">
        <v>1156</v>
      </c>
      <c r="G67" s="542">
        <v>6</v>
      </c>
      <c r="H67" s="367">
        <v>7.05</v>
      </c>
      <c r="I67" s="335">
        <v>120</v>
      </c>
      <c r="J67" s="367">
        <v>41.61</v>
      </c>
      <c r="K67" s="367">
        <v>29.61</v>
      </c>
      <c r="L67" s="337">
        <v>20</v>
      </c>
      <c r="M67" s="557">
        <v>40</v>
      </c>
      <c r="N67" s="335">
        <f t="shared" si="8"/>
        <v>6.3185827660715965</v>
      </c>
      <c r="O67" s="335">
        <f t="shared" si="9"/>
        <v>9.0474337199612336</v>
      </c>
      <c r="P67" s="335">
        <f t="shared" si="6"/>
        <v>121.3625</v>
      </c>
      <c r="Q67" s="335">
        <f t="shared" si="7"/>
        <v>51.244609278087111</v>
      </c>
      <c r="R67" s="595">
        <v>65</v>
      </c>
    </row>
    <row r="68" spans="1:18">
      <c r="A68" s="607">
        <v>66</v>
      </c>
      <c r="B68" s="806"/>
      <c r="C68" s="593">
        <v>8</v>
      </c>
      <c r="D68" s="542">
        <v>10</v>
      </c>
      <c r="E68" s="367">
        <v>12</v>
      </c>
      <c r="F68" s="336" t="s">
        <v>1157</v>
      </c>
      <c r="G68" s="542">
        <v>8</v>
      </c>
      <c r="H68" s="367">
        <v>9.4</v>
      </c>
      <c r="I68" s="335">
        <v>120</v>
      </c>
      <c r="J68" s="367">
        <v>41.15</v>
      </c>
      <c r="K68" s="367">
        <v>29.15</v>
      </c>
      <c r="L68" s="337">
        <v>20</v>
      </c>
      <c r="M68" s="557">
        <v>40</v>
      </c>
      <c r="N68" s="335">
        <f t="shared" si="8"/>
        <v>6.9507737460674175</v>
      </c>
      <c r="O68" s="335">
        <f t="shared" si="9"/>
        <v>9.9202523917179626</v>
      </c>
      <c r="P68" s="335">
        <f t="shared" si="6"/>
        <v>120.02083333333333</v>
      </c>
      <c r="Q68" s="335">
        <f t="shared" si="7"/>
        <v>50.991006122713564</v>
      </c>
      <c r="R68" s="595">
        <v>66</v>
      </c>
    </row>
    <row r="69" spans="1:18">
      <c r="A69" s="607">
        <v>67</v>
      </c>
      <c r="B69" s="806"/>
      <c r="C69" s="593">
        <v>9</v>
      </c>
      <c r="D69" s="542">
        <v>10</v>
      </c>
      <c r="E69" s="367">
        <v>12</v>
      </c>
      <c r="F69" s="336" t="s">
        <v>1158</v>
      </c>
      <c r="G69" s="542">
        <v>10</v>
      </c>
      <c r="H69" s="367">
        <v>12</v>
      </c>
      <c r="I69" s="335">
        <v>120</v>
      </c>
      <c r="J69" s="367">
        <v>41.23</v>
      </c>
      <c r="K69" s="367">
        <v>29.23</v>
      </c>
      <c r="L69" s="337">
        <v>20</v>
      </c>
      <c r="M69" s="557">
        <v>40</v>
      </c>
      <c r="N69" s="335">
        <f t="shared" si="8"/>
        <v>7.8035307102840221</v>
      </c>
      <c r="O69" s="335">
        <f t="shared" si="9"/>
        <v>11.237084222808992</v>
      </c>
      <c r="P69" s="335">
        <f t="shared" si="6"/>
        <v>120.25416666666666</v>
      </c>
      <c r="Q69" s="335">
        <f t="shared" si="7"/>
        <v>51.410363687827093</v>
      </c>
      <c r="R69" s="595">
        <v>67</v>
      </c>
    </row>
    <row r="70" spans="1:18">
      <c r="A70" s="607">
        <v>68</v>
      </c>
      <c r="B70" s="806"/>
      <c r="C70" s="593">
        <v>10</v>
      </c>
      <c r="D70" s="542">
        <v>12</v>
      </c>
      <c r="E70" s="367">
        <v>14.58</v>
      </c>
      <c r="F70" s="336" t="s">
        <v>1159</v>
      </c>
      <c r="G70" s="542">
        <v>4</v>
      </c>
      <c r="H70" s="367">
        <v>4.75</v>
      </c>
      <c r="I70" s="335">
        <v>120</v>
      </c>
      <c r="J70" s="367">
        <v>44.02</v>
      </c>
      <c r="K70" s="367">
        <v>29.44</v>
      </c>
      <c r="L70" s="337">
        <v>20</v>
      </c>
      <c r="M70" s="557">
        <v>40</v>
      </c>
      <c r="N70" s="335">
        <f t="shared" si="8"/>
        <v>8.2344634109092461</v>
      </c>
      <c r="O70" s="335">
        <f t="shared" si="9"/>
        <v>12.130782793369645</v>
      </c>
      <c r="P70" s="335">
        <f t="shared" si="6"/>
        <v>128.39166666666668</v>
      </c>
      <c r="Q70" s="335">
        <f t="shared" si="7"/>
        <v>54.738816960228064</v>
      </c>
      <c r="R70" s="595">
        <v>68</v>
      </c>
    </row>
    <row r="71" spans="1:18">
      <c r="A71" s="607">
        <v>69</v>
      </c>
      <c r="B71" s="806"/>
      <c r="C71" s="593">
        <v>11</v>
      </c>
      <c r="D71" s="542">
        <v>12</v>
      </c>
      <c r="E71" s="367">
        <v>14.58</v>
      </c>
      <c r="F71" s="336" t="s">
        <v>1160</v>
      </c>
      <c r="G71" s="542">
        <v>6</v>
      </c>
      <c r="H71" s="367">
        <v>7.05</v>
      </c>
      <c r="I71" s="335">
        <v>120</v>
      </c>
      <c r="J71" s="367">
        <v>44.19</v>
      </c>
      <c r="K71" s="367">
        <v>29.61</v>
      </c>
      <c r="L71" s="337">
        <v>20</v>
      </c>
      <c r="M71" s="557">
        <v>40</v>
      </c>
      <c r="N71" s="335">
        <f t="shared" si="8"/>
        <v>8.7184104875637995</v>
      </c>
      <c r="O71" s="335">
        <f t="shared" si="9"/>
        <v>12.787696123600734</v>
      </c>
      <c r="P71" s="335">
        <f t="shared" si="6"/>
        <v>128.88749999999999</v>
      </c>
      <c r="Q71" s="335">
        <f t="shared" si="7"/>
        <v>55.158332038123504</v>
      </c>
      <c r="R71" s="595">
        <v>69</v>
      </c>
    </row>
    <row r="72" spans="1:18">
      <c r="A72" s="607">
        <v>70</v>
      </c>
      <c r="B72" s="806"/>
      <c r="C72" s="593">
        <v>12</v>
      </c>
      <c r="D72" s="542">
        <v>12</v>
      </c>
      <c r="E72" s="367">
        <v>14.58</v>
      </c>
      <c r="F72" s="336" t="s">
        <v>1161</v>
      </c>
      <c r="G72" s="542">
        <v>8</v>
      </c>
      <c r="H72" s="367">
        <v>9.4</v>
      </c>
      <c r="I72" s="335">
        <v>120</v>
      </c>
      <c r="J72" s="367">
        <v>43.73</v>
      </c>
      <c r="K72" s="367">
        <v>29.15</v>
      </c>
      <c r="L72" s="337">
        <v>20</v>
      </c>
      <c r="M72" s="557">
        <v>40</v>
      </c>
      <c r="N72" s="335">
        <f t="shared" si="8"/>
        <v>9.3506014675596205</v>
      </c>
      <c r="O72" s="335">
        <f t="shared" si="9"/>
        <v>13.660514795357464</v>
      </c>
      <c r="P72" s="335">
        <f t="shared" si="6"/>
        <v>127.54583333333332</v>
      </c>
      <c r="Q72" s="335">
        <f t="shared" si="7"/>
        <v>54.904728882749964</v>
      </c>
      <c r="R72" s="595">
        <v>70</v>
      </c>
    </row>
    <row r="73" spans="1:18">
      <c r="A73" s="607">
        <v>71</v>
      </c>
      <c r="B73" s="806"/>
      <c r="C73" s="593">
        <v>13</v>
      </c>
      <c r="D73" s="542">
        <v>12</v>
      </c>
      <c r="E73" s="367">
        <v>14.58</v>
      </c>
      <c r="F73" s="336" t="s">
        <v>1162</v>
      </c>
      <c r="G73" s="542">
        <v>10</v>
      </c>
      <c r="H73" s="367">
        <v>12</v>
      </c>
      <c r="I73" s="335">
        <v>120</v>
      </c>
      <c r="J73" s="367">
        <v>43.81</v>
      </c>
      <c r="K73" s="367">
        <v>29.23</v>
      </c>
      <c r="L73" s="337">
        <v>20</v>
      </c>
      <c r="M73" s="557">
        <v>40</v>
      </c>
      <c r="N73" s="335">
        <f t="shared" si="8"/>
        <v>10.203358431776225</v>
      </c>
      <c r="O73" s="335">
        <f t="shared" si="9"/>
        <v>14.977346626448492</v>
      </c>
      <c r="P73" s="335">
        <f t="shared" si="6"/>
        <v>127.77916666666668</v>
      </c>
      <c r="Q73" s="335">
        <f t="shared" si="7"/>
        <v>55.3240864478635</v>
      </c>
      <c r="R73" s="595">
        <v>71</v>
      </c>
    </row>
    <row r="74" spans="1:18">
      <c r="A74" s="607">
        <v>72</v>
      </c>
      <c r="B74" s="806"/>
      <c r="C74" s="593">
        <v>14</v>
      </c>
      <c r="D74" s="542">
        <v>12</v>
      </c>
      <c r="E74" s="367">
        <v>14.58</v>
      </c>
      <c r="F74" s="336" t="s">
        <v>1163</v>
      </c>
      <c r="G74" s="542">
        <v>12</v>
      </c>
      <c r="H74" s="367">
        <v>14.58</v>
      </c>
      <c r="I74" s="335">
        <v>120</v>
      </c>
      <c r="J74" s="367">
        <v>44.09</v>
      </c>
      <c r="K74" s="367">
        <v>29.51</v>
      </c>
      <c r="L74" s="337">
        <v>20</v>
      </c>
      <c r="M74" s="557">
        <v>40</v>
      </c>
      <c r="N74" s="335">
        <f t="shared" si="8"/>
        <v>11.292062094246813</v>
      </c>
      <c r="O74" s="335">
        <f t="shared" si="9"/>
        <v>16.669624365079503</v>
      </c>
      <c r="P74" s="335">
        <f t="shared" si="6"/>
        <v>128.59583333333333</v>
      </c>
      <c r="Q74" s="335">
        <f t="shared" si="7"/>
        <v>56.062545681548343</v>
      </c>
      <c r="R74" s="595">
        <v>72</v>
      </c>
    </row>
    <row r="75" spans="1:18">
      <c r="A75" s="607">
        <v>73</v>
      </c>
      <c r="B75" s="806"/>
      <c r="C75" s="593">
        <v>15</v>
      </c>
      <c r="D75" s="542">
        <v>15</v>
      </c>
      <c r="E75" s="367">
        <v>17.73</v>
      </c>
      <c r="F75" s="336" t="s">
        <v>1164</v>
      </c>
      <c r="G75" s="542">
        <v>4</v>
      </c>
      <c r="H75" s="367">
        <v>4.75</v>
      </c>
      <c r="I75" s="335">
        <v>118.72</v>
      </c>
      <c r="J75" s="367">
        <v>47.17</v>
      </c>
      <c r="K75" s="367">
        <v>29.44</v>
      </c>
      <c r="L75" s="337">
        <v>19.79</v>
      </c>
      <c r="M75" s="557">
        <v>39.57</v>
      </c>
      <c r="N75" s="335">
        <f t="shared" si="8"/>
        <v>12.521428386120316</v>
      </c>
      <c r="O75" s="335">
        <f t="shared" si="9"/>
        <v>17.498946646167422</v>
      </c>
      <c r="P75" s="335">
        <f t="shared" si="6"/>
        <v>136.11165555555556</v>
      </c>
      <c r="Q75" s="335">
        <f t="shared" si="7"/>
        <v>59.966511949875567</v>
      </c>
      <c r="R75" s="595">
        <v>73</v>
      </c>
    </row>
    <row r="76" spans="1:18">
      <c r="A76" s="607">
        <v>74</v>
      </c>
      <c r="B76" s="806"/>
      <c r="C76" s="593">
        <v>16</v>
      </c>
      <c r="D76" s="542">
        <v>15</v>
      </c>
      <c r="E76" s="367">
        <v>17.73</v>
      </c>
      <c r="F76" s="336" t="s">
        <v>1165</v>
      </c>
      <c r="G76" s="542">
        <v>6</v>
      </c>
      <c r="H76" s="367">
        <v>7.05</v>
      </c>
      <c r="I76" s="335">
        <v>118.72</v>
      </c>
      <c r="J76" s="367">
        <v>47.34</v>
      </c>
      <c r="K76" s="367">
        <v>29.61</v>
      </c>
      <c r="L76" s="337">
        <v>19.79</v>
      </c>
      <c r="M76" s="557">
        <v>39.57</v>
      </c>
      <c r="N76" s="335">
        <f t="shared" si="8"/>
        <v>13.00537546277487</v>
      </c>
      <c r="O76" s="335">
        <f t="shared" si="9"/>
        <v>18.155859976398506</v>
      </c>
      <c r="P76" s="335">
        <f t="shared" si="6"/>
        <v>136.60220000000001</v>
      </c>
      <c r="Q76" s="335">
        <f t="shared" si="7"/>
        <v>60.38391147221548</v>
      </c>
      <c r="R76" s="595">
        <v>74</v>
      </c>
    </row>
    <row r="77" spans="1:18">
      <c r="A77" s="607">
        <v>75</v>
      </c>
      <c r="B77" s="806"/>
      <c r="C77" s="593">
        <v>17</v>
      </c>
      <c r="D77" s="542">
        <v>15</v>
      </c>
      <c r="E77" s="367">
        <v>17.73</v>
      </c>
      <c r="F77" s="336" t="s">
        <v>1166</v>
      </c>
      <c r="G77" s="542">
        <v>8</v>
      </c>
      <c r="H77" s="367">
        <v>9.4</v>
      </c>
      <c r="I77" s="335">
        <v>118.72</v>
      </c>
      <c r="J77" s="367">
        <v>46.88</v>
      </c>
      <c r="K77" s="367">
        <v>29.15</v>
      </c>
      <c r="L77" s="337">
        <v>19.79</v>
      </c>
      <c r="M77" s="557">
        <v>39.57</v>
      </c>
      <c r="N77" s="335">
        <f t="shared" si="8"/>
        <v>13.637566442770691</v>
      </c>
      <c r="O77" s="335">
        <f t="shared" si="9"/>
        <v>19.028678648155239</v>
      </c>
      <c r="P77" s="335">
        <f t="shared" si="6"/>
        <v>135.27484444444443</v>
      </c>
      <c r="Q77" s="335">
        <f t="shared" si="7"/>
        <v>60.136032761286373</v>
      </c>
      <c r="R77" s="595">
        <v>75</v>
      </c>
    </row>
    <row r="78" spans="1:18">
      <c r="A78" s="607">
        <v>76</v>
      </c>
      <c r="B78" s="806"/>
      <c r="C78" s="593">
        <v>18</v>
      </c>
      <c r="D78" s="542">
        <v>15</v>
      </c>
      <c r="E78" s="367">
        <v>17.73</v>
      </c>
      <c r="F78" s="336" t="s">
        <v>1167</v>
      </c>
      <c r="G78" s="542">
        <v>10</v>
      </c>
      <c r="H78" s="367">
        <v>12</v>
      </c>
      <c r="I78" s="335">
        <v>118.72</v>
      </c>
      <c r="J78" s="367">
        <v>46.96</v>
      </c>
      <c r="K78" s="367">
        <v>29.23</v>
      </c>
      <c r="L78" s="337">
        <v>19.79</v>
      </c>
      <c r="M78" s="557">
        <v>39.57</v>
      </c>
      <c r="N78" s="335">
        <f t="shared" si="8"/>
        <v>14.490323406987295</v>
      </c>
      <c r="O78" s="335">
        <f t="shared" si="9"/>
        <v>20.345510479246265</v>
      </c>
      <c r="P78" s="335">
        <f t="shared" si="6"/>
        <v>135.5056888888889</v>
      </c>
      <c r="Q78" s="335">
        <f t="shared" si="7"/>
        <v>60.554394770844354</v>
      </c>
      <c r="R78" s="595">
        <v>76</v>
      </c>
    </row>
    <row r="79" spans="1:18">
      <c r="A79" s="607">
        <v>77</v>
      </c>
      <c r="B79" s="806"/>
      <c r="C79" s="593">
        <v>19</v>
      </c>
      <c r="D79" s="542">
        <v>15</v>
      </c>
      <c r="E79" s="367">
        <v>17.73</v>
      </c>
      <c r="F79" s="336" t="s">
        <v>1168</v>
      </c>
      <c r="G79" s="542">
        <v>12</v>
      </c>
      <c r="H79" s="367">
        <v>14.58</v>
      </c>
      <c r="I79" s="335">
        <v>118.72</v>
      </c>
      <c r="J79" s="367">
        <v>47.24</v>
      </c>
      <c r="K79" s="367">
        <v>29.51</v>
      </c>
      <c r="L79" s="337">
        <v>19.79</v>
      </c>
      <c r="M79" s="557">
        <v>39.57</v>
      </c>
      <c r="N79" s="335">
        <f t="shared" si="8"/>
        <v>15.579027069457883</v>
      </c>
      <c r="O79" s="335">
        <f t="shared" si="9"/>
        <v>22.037788217877278</v>
      </c>
      <c r="P79" s="335">
        <f t="shared" si="6"/>
        <v>136.31364444444446</v>
      </c>
      <c r="Q79" s="335">
        <f t="shared" si="7"/>
        <v>61.289369560084765</v>
      </c>
      <c r="R79" s="595">
        <v>77</v>
      </c>
    </row>
    <row r="80" spans="1:18">
      <c r="A80" s="607">
        <v>78</v>
      </c>
      <c r="B80" s="806"/>
      <c r="C80" s="593">
        <v>20</v>
      </c>
      <c r="D80" s="542">
        <v>18</v>
      </c>
      <c r="E80" s="367">
        <v>21.45</v>
      </c>
      <c r="F80" s="336" t="s">
        <v>1169</v>
      </c>
      <c r="G80" s="542">
        <v>4</v>
      </c>
      <c r="H80" s="367">
        <v>4.75</v>
      </c>
      <c r="I80" s="335">
        <v>118.52</v>
      </c>
      <c r="J80" s="367">
        <v>50.89</v>
      </c>
      <c r="K80" s="367">
        <v>29.44</v>
      </c>
      <c r="L80" s="337">
        <v>19.75</v>
      </c>
      <c r="M80" s="557">
        <v>39.51</v>
      </c>
      <c r="N80" s="335">
        <f t="shared" si="8"/>
        <v>17.833992463034559</v>
      </c>
      <c r="O80" s="335">
        <f t="shared" si="9"/>
        <v>25.321735979370573</v>
      </c>
      <c r="P80" s="335">
        <f t="shared" si="6"/>
        <v>146.59854027777777</v>
      </c>
      <c r="Q80" s="335">
        <f t="shared" si="7"/>
        <v>66.344714182397439</v>
      </c>
      <c r="R80" s="595">
        <v>78</v>
      </c>
    </row>
    <row r="81" spans="1:18">
      <c r="A81" s="607">
        <v>79</v>
      </c>
      <c r="B81" s="806"/>
      <c r="C81" s="593">
        <v>21</v>
      </c>
      <c r="D81" s="542">
        <v>18</v>
      </c>
      <c r="E81" s="367">
        <v>21.45</v>
      </c>
      <c r="F81" s="336" t="s">
        <v>1170</v>
      </c>
      <c r="G81" s="542">
        <v>6</v>
      </c>
      <c r="H81" s="367">
        <v>7.05</v>
      </c>
      <c r="I81" s="335">
        <v>118.52</v>
      </c>
      <c r="J81" s="367">
        <v>51.06</v>
      </c>
      <c r="K81" s="367">
        <v>29.61</v>
      </c>
      <c r="L81" s="337">
        <v>19.75</v>
      </c>
      <c r="M81" s="557">
        <v>39.51</v>
      </c>
      <c r="N81" s="335">
        <f t="shared" si="8"/>
        <v>18.31793953968911</v>
      </c>
      <c r="O81" s="335">
        <f t="shared" si="9"/>
        <v>25.978649309601657</v>
      </c>
      <c r="P81" s="335">
        <f t="shared" si="6"/>
        <v>147.08825833333336</v>
      </c>
      <c r="Q81" s="335">
        <f t="shared" si="7"/>
        <v>66.761783149181795</v>
      </c>
      <c r="R81" s="595">
        <v>79</v>
      </c>
    </row>
    <row r="82" spans="1:18">
      <c r="A82" s="607">
        <v>80</v>
      </c>
      <c r="B82" s="806"/>
      <c r="C82" s="593">
        <v>22</v>
      </c>
      <c r="D82" s="542">
        <v>18</v>
      </c>
      <c r="E82" s="367">
        <v>21.45</v>
      </c>
      <c r="F82" s="336" t="s">
        <v>1171</v>
      </c>
      <c r="G82" s="542">
        <v>8</v>
      </c>
      <c r="H82" s="367">
        <v>9.4</v>
      </c>
      <c r="I82" s="335">
        <v>118.52</v>
      </c>
      <c r="J82" s="367">
        <v>50.6</v>
      </c>
      <c r="K82" s="367">
        <v>29.15</v>
      </c>
      <c r="L82" s="337">
        <v>19.75</v>
      </c>
      <c r="M82" s="557">
        <v>39.51</v>
      </c>
      <c r="N82" s="335">
        <f t="shared" si="8"/>
        <v>18.950130519684929</v>
      </c>
      <c r="O82" s="335">
        <f t="shared" si="9"/>
        <v>26.85146798135839</v>
      </c>
      <c r="P82" s="335">
        <f t="shared" si="6"/>
        <v>145.7631388888889</v>
      </c>
      <c r="Q82" s="335">
        <f t="shared" si="7"/>
        <v>66.514798882697136</v>
      </c>
      <c r="R82" s="595">
        <v>80</v>
      </c>
    </row>
    <row r="83" spans="1:18">
      <c r="A83" s="607">
        <v>81</v>
      </c>
      <c r="B83" s="806"/>
      <c r="C83" s="593">
        <v>23</v>
      </c>
      <c r="D83" s="542">
        <v>18</v>
      </c>
      <c r="E83" s="367">
        <v>21.45</v>
      </c>
      <c r="F83" s="336" t="s">
        <v>1172</v>
      </c>
      <c r="G83" s="542">
        <v>10</v>
      </c>
      <c r="H83" s="367">
        <v>12</v>
      </c>
      <c r="I83" s="335">
        <v>118.52</v>
      </c>
      <c r="J83" s="367">
        <v>50.68</v>
      </c>
      <c r="K83" s="367">
        <v>29.23</v>
      </c>
      <c r="L83" s="337">
        <v>19.75</v>
      </c>
      <c r="M83" s="557">
        <v>39.51</v>
      </c>
      <c r="N83" s="335">
        <f t="shared" si="8"/>
        <v>19.802887483901536</v>
      </c>
      <c r="O83" s="335">
        <f t="shared" si="9"/>
        <v>28.168299812449415</v>
      </c>
      <c r="P83" s="335">
        <f t="shared" si="6"/>
        <v>145.99359444444443</v>
      </c>
      <c r="Q83" s="335">
        <f t="shared" si="7"/>
        <v>66.933005336699551</v>
      </c>
      <c r="R83" s="595">
        <v>81</v>
      </c>
    </row>
    <row r="84" spans="1:18">
      <c r="A84" s="607">
        <v>82</v>
      </c>
      <c r="B84" s="806"/>
      <c r="C84" s="593">
        <v>24</v>
      </c>
      <c r="D84" s="542">
        <v>18</v>
      </c>
      <c r="E84" s="367">
        <v>21.45</v>
      </c>
      <c r="F84" s="336" t="s">
        <v>1173</v>
      </c>
      <c r="G84" s="542">
        <v>12</v>
      </c>
      <c r="H84" s="367">
        <v>14.58</v>
      </c>
      <c r="I84" s="335">
        <v>118.52</v>
      </c>
      <c r="J84" s="335">
        <v>50.96</v>
      </c>
      <c r="K84" s="367">
        <v>29.51</v>
      </c>
      <c r="L84" s="337">
        <v>19.75</v>
      </c>
      <c r="M84" s="557">
        <v>39.51</v>
      </c>
      <c r="N84" s="335">
        <f t="shared" si="8"/>
        <v>20.891591146372122</v>
      </c>
      <c r="O84" s="335">
        <f t="shared" si="9"/>
        <v>29.860577551080429</v>
      </c>
      <c r="P84" s="335">
        <f t="shared" si="6"/>
        <v>146.8001888888889</v>
      </c>
      <c r="Q84" s="335">
        <f t="shared" si="7"/>
        <v>67.667435681495505</v>
      </c>
      <c r="R84" s="595">
        <v>82</v>
      </c>
    </row>
    <row r="85" spans="1:18">
      <c r="A85" s="607">
        <v>83</v>
      </c>
      <c r="B85" s="806"/>
      <c r="C85" s="593">
        <v>25</v>
      </c>
      <c r="D85" s="542">
        <v>24</v>
      </c>
      <c r="E85" s="367">
        <v>28.2</v>
      </c>
      <c r="F85" s="336" t="s">
        <v>1174</v>
      </c>
      <c r="G85" s="542">
        <v>4</v>
      </c>
      <c r="H85" s="367">
        <v>4.75</v>
      </c>
      <c r="I85" s="335">
        <v>118.02</v>
      </c>
      <c r="J85" s="335">
        <v>57.64</v>
      </c>
      <c r="K85" s="367">
        <v>29.44</v>
      </c>
      <c r="L85" s="337">
        <v>19.670000000000002</v>
      </c>
      <c r="M85" s="557">
        <v>39.340000000000003</v>
      </c>
      <c r="N85" s="335">
        <f t="shared" si="8"/>
        <v>31.278045524990379</v>
      </c>
      <c r="O85" s="335">
        <f t="shared" si="9"/>
        <v>43.19448770541495</v>
      </c>
      <c r="P85" s="335">
        <f t="shared" si="6"/>
        <v>165.34274166666668</v>
      </c>
      <c r="Q85" s="335">
        <f t="shared" si="7"/>
        <v>80.137347109491074</v>
      </c>
      <c r="R85" s="595">
        <v>83</v>
      </c>
    </row>
    <row r="86" spans="1:18">
      <c r="A86" s="607">
        <v>84</v>
      </c>
      <c r="B86" s="806"/>
      <c r="C86" s="593">
        <v>26</v>
      </c>
      <c r="D86" s="542">
        <v>24</v>
      </c>
      <c r="E86" s="367">
        <v>28.2</v>
      </c>
      <c r="F86" s="336" t="s">
        <v>1175</v>
      </c>
      <c r="G86" s="542">
        <v>6</v>
      </c>
      <c r="H86" s="367">
        <v>7.05</v>
      </c>
      <c r="I86" s="335">
        <v>118.02</v>
      </c>
      <c r="J86" s="335">
        <v>57.81</v>
      </c>
      <c r="K86" s="367">
        <v>29.61</v>
      </c>
      <c r="L86" s="337">
        <v>19.670000000000002</v>
      </c>
      <c r="M86" s="557">
        <v>39.340000000000003</v>
      </c>
      <c r="N86" s="335">
        <f t="shared" si="8"/>
        <v>31.761992601644931</v>
      </c>
      <c r="O86" s="335">
        <f t="shared" si="9"/>
        <v>43.851401035646035</v>
      </c>
      <c r="P86" s="335">
        <f t="shared" si="6"/>
        <v>165.83039375000001</v>
      </c>
      <c r="Q86" s="335">
        <f t="shared" si="7"/>
        <v>80.55358968738652</v>
      </c>
      <c r="R86" s="595">
        <v>84</v>
      </c>
    </row>
    <row r="87" spans="1:18">
      <c r="A87" s="607">
        <v>85</v>
      </c>
      <c r="B87" s="806"/>
      <c r="C87" s="593">
        <v>27</v>
      </c>
      <c r="D87" s="542">
        <v>24</v>
      </c>
      <c r="E87" s="367">
        <v>28.2</v>
      </c>
      <c r="F87" s="336" t="s">
        <v>1176</v>
      </c>
      <c r="G87" s="542">
        <v>8</v>
      </c>
      <c r="H87" s="367">
        <v>9.4</v>
      </c>
      <c r="I87" s="335">
        <v>118.02</v>
      </c>
      <c r="J87" s="335">
        <v>57.35</v>
      </c>
      <c r="K87" s="367">
        <v>29.15</v>
      </c>
      <c r="L87" s="337">
        <v>19.670000000000002</v>
      </c>
      <c r="M87" s="557">
        <v>39.340000000000003</v>
      </c>
      <c r="N87" s="335">
        <f t="shared" si="8"/>
        <v>32.394183581640753</v>
      </c>
      <c r="O87" s="335">
        <f t="shared" si="9"/>
        <v>44.724219707402767</v>
      </c>
      <c r="P87" s="335">
        <f t="shared" si="6"/>
        <v>164.51086458333336</v>
      </c>
      <c r="Q87" s="335">
        <f t="shared" si="7"/>
        <v>80.308841532012991</v>
      </c>
      <c r="R87" s="595">
        <v>85</v>
      </c>
    </row>
    <row r="88" spans="1:18">
      <c r="A88" s="607">
        <v>86</v>
      </c>
      <c r="B88" s="806"/>
      <c r="C88" s="593">
        <v>28</v>
      </c>
      <c r="D88" s="542">
        <v>24</v>
      </c>
      <c r="E88" s="367">
        <v>28.2</v>
      </c>
      <c r="F88" s="336" t="s">
        <v>1177</v>
      </c>
      <c r="G88" s="542">
        <v>10</v>
      </c>
      <c r="H88" s="367">
        <v>12</v>
      </c>
      <c r="I88" s="335">
        <v>118.02</v>
      </c>
      <c r="J88" s="335">
        <v>57.43</v>
      </c>
      <c r="K88" s="367">
        <v>29.23</v>
      </c>
      <c r="L88" s="337">
        <v>19.670000000000002</v>
      </c>
      <c r="M88" s="557">
        <v>39.340000000000003</v>
      </c>
      <c r="N88" s="335">
        <f t="shared" si="8"/>
        <v>33.246940545857356</v>
      </c>
      <c r="O88" s="335">
        <f t="shared" si="9"/>
        <v>46.041051538493797</v>
      </c>
      <c r="P88" s="335">
        <f t="shared" si="6"/>
        <v>164.74034791666668</v>
      </c>
      <c r="Q88" s="335">
        <f t="shared" si="7"/>
        <v>80.726659097126515</v>
      </c>
      <c r="R88" s="595">
        <v>86</v>
      </c>
    </row>
    <row r="89" spans="1:18" ht="15.75" thickBot="1">
      <c r="A89" s="607">
        <v>87</v>
      </c>
      <c r="B89" s="806"/>
      <c r="C89" s="593">
        <v>29</v>
      </c>
      <c r="D89" s="341">
        <v>24</v>
      </c>
      <c r="E89" s="342">
        <v>28.2</v>
      </c>
      <c r="F89" s="535" t="s">
        <v>1178</v>
      </c>
      <c r="G89" s="341">
        <v>12</v>
      </c>
      <c r="H89" s="342">
        <v>14.58</v>
      </c>
      <c r="I89" s="347">
        <v>118.02</v>
      </c>
      <c r="J89" s="342">
        <v>57.71</v>
      </c>
      <c r="K89" s="342">
        <v>29.51</v>
      </c>
      <c r="L89" s="349">
        <v>19.670000000000002</v>
      </c>
      <c r="M89" s="612">
        <v>39.340000000000003</v>
      </c>
      <c r="N89" s="347">
        <f t="shared" si="8"/>
        <v>34.335644208327942</v>
      </c>
      <c r="O89" s="347">
        <f t="shared" si="9"/>
        <v>47.73332927712481</v>
      </c>
      <c r="P89" s="347">
        <f t="shared" si="6"/>
        <v>165.54353958333334</v>
      </c>
      <c r="Q89" s="347">
        <f t="shared" si="7"/>
        <v>81.459728330811359</v>
      </c>
      <c r="R89" s="595">
        <v>87</v>
      </c>
    </row>
    <row r="90" spans="1:18" ht="15" customHeight="1" thickTop="1">
      <c r="A90" s="607">
        <v>88</v>
      </c>
      <c r="B90" s="811" t="s">
        <v>1098</v>
      </c>
      <c r="C90" s="609">
        <v>1</v>
      </c>
      <c r="D90" s="559">
        <v>6</v>
      </c>
      <c r="E90" s="354">
        <v>7.05</v>
      </c>
      <c r="F90" s="362" t="s">
        <v>1097</v>
      </c>
      <c r="G90" s="559">
        <v>6</v>
      </c>
      <c r="H90" s="354">
        <v>7.05</v>
      </c>
      <c r="I90" s="354">
        <v>36.25</v>
      </c>
      <c r="J90" s="354">
        <v>23.78</v>
      </c>
      <c r="K90" s="354">
        <v>16.73</v>
      </c>
      <c r="L90" s="354">
        <v>29.2</v>
      </c>
      <c r="M90" s="560" t="s">
        <v>275</v>
      </c>
      <c r="N90" s="352">
        <f t="shared" ref="N90:N93" si="10">PI()*D90^2/4*(J90+L90-12)/1728</f>
        <v>0.67053368200057151</v>
      </c>
      <c r="O90" s="352">
        <f t="shared" ref="O90:O93" si="11">PI()*E90^2/4*(J90+L90-12)/1728</f>
        <v>0.92575556471203913</v>
      </c>
      <c r="P90" s="352">
        <f t="shared" si="6"/>
        <v>20.95199652777778</v>
      </c>
      <c r="Q90" s="352">
        <f t="shared" si="7"/>
        <v>8.6810300672268692</v>
      </c>
      <c r="R90" s="595">
        <v>88</v>
      </c>
    </row>
    <row r="91" spans="1:18" ht="15.75" customHeight="1">
      <c r="A91" s="607">
        <v>89</v>
      </c>
      <c r="B91" s="812"/>
      <c r="C91" s="553">
        <v>2</v>
      </c>
      <c r="D91" s="554">
        <v>8</v>
      </c>
      <c r="E91" s="356">
        <v>9.4</v>
      </c>
      <c r="F91" s="543" t="s">
        <v>1094</v>
      </c>
      <c r="G91" s="554">
        <v>8</v>
      </c>
      <c r="H91" s="356">
        <v>9.4</v>
      </c>
      <c r="I91" s="356">
        <v>38.71</v>
      </c>
      <c r="J91" s="356">
        <v>25.1</v>
      </c>
      <c r="K91" s="356">
        <v>15.702999999999999</v>
      </c>
      <c r="L91" s="356">
        <v>29.31</v>
      </c>
      <c r="M91" s="555" t="s">
        <v>275</v>
      </c>
      <c r="N91" s="335">
        <f t="shared" si="10"/>
        <v>1.2336568929513252</v>
      </c>
      <c r="O91" s="335">
        <f t="shared" si="11"/>
        <v>1.7032175478309233</v>
      </c>
      <c r="P91" s="335">
        <f t="shared" si="6"/>
        <v>23.615788194444445</v>
      </c>
      <c r="Q91" s="335">
        <f t="shared" si="7"/>
        <v>9.9986851515967334</v>
      </c>
      <c r="R91" s="595">
        <v>89</v>
      </c>
    </row>
    <row r="92" spans="1:18">
      <c r="A92" s="607">
        <v>90</v>
      </c>
      <c r="B92" s="812"/>
      <c r="C92" s="553">
        <v>3</v>
      </c>
      <c r="D92" s="554">
        <v>10</v>
      </c>
      <c r="E92" s="356">
        <v>12</v>
      </c>
      <c r="F92" s="336" t="s">
        <v>1095</v>
      </c>
      <c r="G92" s="554">
        <v>10</v>
      </c>
      <c r="H92" s="356">
        <v>12</v>
      </c>
      <c r="I92" s="356">
        <v>41.38</v>
      </c>
      <c r="J92" s="356">
        <v>26</v>
      </c>
      <c r="K92" s="356">
        <v>14</v>
      </c>
      <c r="L92" s="356">
        <v>29.38</v>
      </c>
      <c r="M92" s="555" t="s">
        <v>275</v>
      </c>
      <c r="N92" s="335">
        <f t="shared" si="10"/>
        <v>1.9716766393623442</v>
      </c>
      <c r="O92" s="335">
        <f t="shared" si="11"/>
        <v>2.8392143606817757</v>
      </c>
      <c r="P92" s="335">
        <f t="shared" si="6"/>
        <v>26.149861111111111</v>
      </c>
      <c r="Q92" s="335">
        <f t="shared" si="7"/>
        <v>11.295935339534079</v>
      </c>
      <c r="R92" s="595">
        <v>90</v>
      </c>
    </row>
    <row r="93" spans="1:18" ht="15.75" thickBot="1">
      <c r="A93" s="607">
        <v>91</v>
      </c>
      <c r="B93" s="813"/>
      <c r="C93" s="610">
        <v>4</v>
      </c>
      <c r="D93" s="561">
        <v>12</v>
      </c>
      <c r="E93" s="359">
        <v>14.58</v>
      </c>
      <c r="F93" s="360" t="s">
        <v>1096</v>
      </c>
      <c r="G93" s="561">
        <v>12</v>
      </c>
      <c r="H93" s="359">
        <v>14.58</v>
      </c>
      <c r="I93" s="359">
        <v>42.69</v>
      </c>
      <c r="J93" s="359">
        <v>26.96</v>
      </c>
      <c r="K93" s="359">
        <v>12.38</v>
      </c>
      <c r="L93" s="359">
        <v>28.12</v>
      </c>
      <c r="M93" s="562" t="s">
        <v>275</v>
      </c>
      <c r="N93" s="347">
        <f t="shared" si="10"/>
        <v>2.8195794065968389</v>
      </c>
      <c r="O93" s="347">
        <f t="shared" si="11"/>
        <v>4.1623336095034196</v>
      </c>
      <c r="P93" s="347">
        <f t="shared" si="6"/>
        <v>27.973808333333334</v>
      </c>
      <c r="Q93" s="347">
        <f t="shared" si="7"/>
        <v>12.344169296128804</v>
      </c>
      <c r="R93" s="595">
        <v>91</v>
      </c>
    </row>
    <row r="94" spans="1:18" ht="15" customHeight="1" thickTop="1">
      <c r="A94" s="607">
        <v>92</v>
      </c>
      <c r="B94" s="801" t="s">
        <v>273</v>
      </c>
      <c r="C94" s="598">
        <v>1</v>
      </c>
      <c r="D94" s="542">
        <v>8</v>
      </c>
      <c r="E94" s="367">
        <v>9.4</v>
      </c>
      <c r="F94" s="543" t="s">
        <v>274</v>
      </c>
      <c r="G94" s="542">
        <v>4</v>
      </c>
      <c r="H94" s="367">
        <v>4.75</v>
      </c>
      <c r="I94" s="367">
        <v>57.33</v>
      </c>
      <c r="J94" s="367">
        <v>45.38</v>
      </c>
      <c r="K94" s="367">
        <v>35.979999999999997</v>
      </c>
      <c r="L94" s="546">
        <v>28.67</v>
      </c>
      <c r="M94" s="541" t="s">
        <v>275</v>
      </c>
      <c r="N94" s="367">
        <f t="shared" ref="N94:N157" si="12">PI()*D94^2/4*I94/1728+PI()*G94^2/4*(K94-12)/1728</f>
        <v>1.8420495813756819</v>
      </c>
      <c r="O94" s="367">
        <f t="shared" ref="O94:O157" si="13">PI()*E94^2/4*I94/1728+PI()*H94^2/4*(K94-12)/1728</f>
        <v>2.5483295835878907</v>
      </c>
      <c r="P94" s="539">
        <f t="shared" ref="P94:P157" si="14">42*I94*J94/1728</f>
        <v>63.234193750000003</v>
      </c>
      <c r="Q94" s="367">
        <f>0.4*(P94-O94)+N94</f>
        <v>26.116395247940527</v>
      </c>
      <c r="R94" s="595">
        <v>92</v>
      </c>
    </row>
    <row r="95" spans="1:18">
      <c r="A95" s="607">
        <v>93</v>
      </c>
      <c r="B95" s="801"/>
      <c r="C95" s="598">
        <v>2</v>
      </c>
      <c r="D95" s="334">
        <v>8</v>
      </c>
      <c r="E95" s="335">
        <v>9.4</v>
      </c>
      <c r="F95" s="336" t="s">
        <v>276</v>
      </c>
      <c r="G95" s="334">
        <v>6</v>
      </c>
      <c r="H95" s="335">
        <v>7.05</v>
      </c>
      <c r="I95" s="335">
        <v>57.33</v>
      </c>
      <c r="J95" s="335">
        <v>46.02</v>
      </c>
      <c r="K95" s="335">
        <v>36.619999999999997</v>
      </c>
      <c r="L95" s="337">
        <v>28.67</v>
      </c>
      <c r="M95" s="338" t="s">
        <v>275</v>
      </c>
      <c r="N95" s="335">
        <f t="shared" si="12"/>
        <v>2.0705059082565231</v>
      </c>
      <c r="O95" s="335">
        <f t="shared" si="13"/>
        <v>2.8585922195866624</v>
      </c>
      <c r="P95" s="335">
        <f t="shared" si="14"/>
        <v>64.125993750000006</v>
      </c>
      <c r="Q95" s="335">
        <f t="shared" ref="Q95:Q158" si="15">0.4*(P95-O95)+N95</f>
        <v>26.577466520421865</v>
      </c>
      <c r="R95" s="595">
        <v>93</v>
      </c>
    </row>
    <row r="96" spans="1:18">
      <c r="A96" s="607">
        <v>94</v>
      </c>
      <c r="B96" s="801"/>
      <c r="C96" s="598">
        <v>3</v>
      </c>
      <c r="D96" s="334">
        <v>8</v>
      </c>
      <c r="E96" s="335">
        <v>9.4</v>
      </c>
      <c r="F96" s="336" t="s">
        <v>277</v>
      </c>
      <c r="G96" s="334">
        <v>8</v>
      </c>
      <c r="H96" s="335">
        <v>9.4</v>
      </c>
      <c r="I96" s="335">
        <v>57.33</v>
      </c>
      <c r="J96" s="335">
        <v>46.32</v>
      </c>
      <c r="K96" s="335">
        <v>36.92</v>
      </c>
      <c r="L96" s="337">
        <v>28.67</v>
      </c>
      <c r="M96" s="338" t="s">
        <v>275</v>
      </c>
      <c r="N96" s="335">
        <f t="shared" si="12"/>
        <v>2.3925555162755598</v>
      </c>
      <c r="O96" s="335">
        <f t="shared" si="13"/>
        <v>3.3032219596579457</v>
      </c>
      <c r="P96" s="335">
        <f t="shared" si="14"/>
        <v>64.544025000000005</v>
      </c>
      <c r="Q96" s="335">
        <f t="shared" si="15"/>
        <v>26.888876732412385</v>
      </c>
      <c r="R96" s="595">
        <v>94</v>
      </c>
    </row>
    <row r="97" spans="1:18">
      <c r="A97" s="607">
        <v>95</v>
      </c>
      <c r="B97" s="801"/>
      <c r="C97" s="598">
        <v>4</v>
      </c>
      <c r="D97" s="334">
        <v>10</v>
      </c>
      <c r="E97" s="335">
        <v>12</v>
      </c>
      <c r="F97" s="336" t="s">
        <v>278</v>
      </c>
      <c r="G97" s="334">
        <v>4</v>
      </c>
      <c r="H97" s="335">
        <v>4.75</v>
      </c>
      <c r="I97" s="335">
        <v>56.92</v>
      </c>
      <c r="J97" s="335">
        <v>47.98</v>
      </c>
      <c r="K97" s="335">
        <v>35.979999999999997</v>
      </c>
      <c r="L97" s="337">
        <v>28.46</v>
      </c>
      <c r="M97" s="338" t="s">
        <v>275</v>
      </c>
      <c r="N97" s="335">
        <f t="shared" si="12"/>
        <v>2.7614744869158612</v>
      </c>
      <c r="O97" s="335">
        <f t="shared" si="13"/>
        <v>3.9713188847699086</v>
      </c>
      <c r="P97" s="335">
        <f t="shared" si="14"/>
        <v>66.37899722222221</v>
      </c>
      <c r="Q97" s="335">
        <f t="shared" si="15"/>
        <v>27.724545821896786</v>
      </c>
      <c r="R97" s="595">
        <v>95</v>
      </c>
    </row>
    <row r="98" spans="1:18">
      <c r="A98" s="607">
        <v>96</v>
      </c>
      <c r="B98" s="801"/>
      <c r="C98" s="598">
        <v>5</v>
      </c>
      <c r="D98" s="339">
        <v>10</v>
      </c>
      <c r="E98" s="335">
        <v>12</v>
      </c>
      <c r="F98" s="336" t="s">
        <v>279</v>
      </c>
      <c r="G98" s="334">
        <v>6</v>
      </c>
      <c r="H98" s="335">
        <v>7.05</v>
      </c>
      <c r="I98" s="335">
        <v>56.92</v>
      </c>
      <c r="J98" s="335">
        <v>48.62</v>
      </c>
      <c r="K98" s="335">
        <v>36.619999999999997</v>
      </c>
      <c r="L98" s="337">
        <v>28.46</v>
      </c>
      <c r="M98" s="338" t="s">
        <v>275</v>
      </c>
      <c r="N98" s="335">
        <f t="shared" si="12"/>
        <v>2.9899308137967022</v>
      </c>
      <c r="O98" s="335">
        <f t="shared" si="13"/>
        <v>4.2815815207686798</v>
      </c>
      <c r="P98" s="335">
        <f t="shared" si="14"/>
        <v>67.264419444444442</v>
      </c>
      <c r="Q98" s="335">
        <f t="shared" si="15"/>
        <v>28.183065983267007</v>
      </c>
      <c r="R98" s="595">
        <v>96</v>
      </c>
    </row>
    <row r="99" spans="1:18">
      <c r="A99" s="607">
        <v>97</v>
      </c>
      <c r="B99" s="801"/>
      <c r="C99" s="598">
        <v>6</v>
      </c>
      <c r="D99" s="334">
        <v>10</v>
      </c>
      <c r="E99" s="335">
        <v>12</v>
      </c>
      <c r="F99" s="336" t="s">
        <v>280</v>
      </c>
      <c r="G99" s="334">
        <v>8</v>
      </c>
      <c r="H99" s="335">
        <v>9.4</v>
      </c>
      <c r="I99" s="335">
        <v>56.92</v>
      </c>
      <c r="J99" s="335">
        <v>48.92</v>
      </c>
      <c r="K99" s="335">
        <v>36.92</v>
      </c>
      <c r="L99" s="337">
        <v>28.46</v>
      </c>
      <c r="M99" s="338" t="s">
        <v>275</v>
      </c>
      <c r="N99" s="335">
        <f t="shared" si="12"/>
        <v>3.3119804218157394</v>
      </c>
      <c r="O99" s="335">
        <f t="shared" si="13"/>
        <v>4.7262112608399631</v>
      </c>
      <c r="P99" s="335">
        <f t="shared" si="14"/>
        <v>67.67946111111111</v>
      </c>
      <c r="Q99" s="335">
        <f t="shared" si="15"/>
        <v>28.493280361924199</v>
      </c>
      <c r="R99" s="595">
        <v>97</v>
      </c>
    </row>
    <row r="100" spans="1:18">
      <c r="A100" s="607">
        <v>98</v>
      </c>
      <c r="B100" s="801"/>
      <c r="C100" s="598">
        <v>7</v>
      </c>
      <c r="D100" s="334">
        <v>10</v>
      </c>
      <c r="E100" s="335">
        <v>12</v>
      </c>
      <c r="F100" s="336" t="s">
        <v>281</v>
      </c>
      <c r="G100" s="334">
        <v>10</v>
      </c>
      <c r="H100" s="335">
        <v>12</v>
      </c>
      <c r="I100" s="335">
        <v>56.92</v>
      </c>
      <c r="J100" s="335">
        <v>48.92</v>
      </c>
      <c r="K100" s="335">
        <v>36.92</v>
      </c>
      <c r="L100" s="337">
        <v>28.46</v>
      </c>
      <c r="M100" s="338" t="s">
        <v>275</v>
      </c>
      <c r="N100" s="335">
        <f t="shared" si="12"/>
        <v>3.7197329683129148</v>
      </c>
      <c r="O100" s="335">
        <f t="shared" si="13"/>
        <v>5.3564154743705981</v>
      </c>
      <c r="P100" s="335">
        <f t="shared" si="14"/>
        <v>67.67946111111111</v>
      </c>
      <c r="Q100" s="335">
        <f t="shared" si="15"/>
        <v>28.648951223009121</v>
      </c>
      <c r="R100" s="595">
        <v>98</v>
      </c>
    </row>
    <row r="101" spans="1:18">
      <c r="A101" s="607">
        <v>99</v>
      </c>
      <c r="B101" s="801"/>
      <c r="C101" s="598">
        <v>8</v>
      </c>
      <c r="D101" s="334">
        <v>12</v>
      </c>
      <c r="E101" s="335">
        <v>14.58</v>
      </c>
      <c r="F101" s="336" t="s">
        <v>282</v>
      </c>
      <c r="G101" s="334">
        <v>4</v>
      </c>
      <c r="H101" s="335">
        <v>4.75</v>
      </c>
      <c r="I101" s="335">
        <v>57.05</v>
      </c>
      <c r="J101" s="335">
        <v>50.56</v>
      </c>
      <c r="K101" s="335">
        <v>35.979999999999997</v>
      </c>
      <c r="L101" s="337">
        <v>28.53</v>
      </c>
      <c r="M101" s="338" t="s">
        <v>275</v>
      </c>
      <c r="N101" s="335">
        <f t="shared" si="12"/>
        <v>3.9083012495804685</v>
      </c>
      <c r="O101" s="335">
        <f t="shared" si="13"/>
        <v>5.7580104492703263</v>
      </c>
      <c r="P101" s="335">
        <f t="shared" si="14"/>
        <v>70.108111111111114</v>
      </c>
      <c r="Q101" s="335">
        <f t="shared" si="15"/>
        <v>29.648341514316783</v>
      </c>
      <c r="R101" s="595">
        <v>99</v>
      </c>
    </row>
    <row r="102" spans="1:18">
      <c r="A102" s="607">
        <v>100</v>
      </c>
      <c r="B102" s="801"/>
      <c r="C102" s="598">
        <v>9</v>
      </c>
      <c r="D102" s="334">
        <v>12</v>
      </c>
      <c r="E102" s="335">
        <v>14.58</v>
      </c>
      <c r="F102" s="336" t="s">
        <v>283</v>
      </c>
      <c r="G102" s="334">
        <v>6</v>
      </c>
      <c r="H102" s="335">
        <v>7.05</v>
      </c>
      <c r="I102" s="335">
        <v>57.05</v>
      </c>
      <c r="J102" s="335">
        <v>51.2</v>
      </c>
      <c r="K102" s="335">
        <v>36.619999999999997</v>
      </c>
      <c r="L102" s="337">
        <v>28.53</v>
      </c>
      <c r="M102" s="338" t="s">
        <v>275</v>
      </c>
      <c r="N102" s="335">
        <f t="shared" si="12"/>
        <v>4.13675757646131</v>
      </c>
      <c r="O102" s="335">
        <f t="shared" si="13"/>
        <v>6.0682730852690971</v>
      </c>
      <c r="P102" s="335">
        <f t="shared" si="14"/>
        <v>70.995555555555555</v>
      </c>
      <c r="Q102" s="335">
        <f t="shared" si="15"/>
        <v>30.107670564575894</v>
      </c>
      <c r="R102" s="595">
        <v>100</v>
      </c>
    </row>
    <row r="103" spans="1:18">
      <c r="A103" s="607">
        <v>101</v>
      </c>
      <c r="B103" s="801"/>
      <c r="C103" s="598">
        <v>10</v>
      </c>
      <c r="D103" s="334">
        <v>12</v>
      </c>
      <c r="E103" s="335">
        <v>14.58</v>
      </c>
      <c r="F103" s="336" t="s">
        <v>284</v>
      </c>
      <c r="G103" s="334">
        <v>8</v>
      </c>
      <c r="H103" s="335">
        <v>9.4</v>
      </c>
      <c r="I103" s="335">
        <v>57.05</v>
      </c>
      <c r="J103" s="335">
        <v>51.5</v>
      </c>
      <c r="K103" s="335">
        <v>36.92</v>
      </c>
      <c r="L103" s="337">
        <v>28.53</v>
      </c>
      <c r="M103" s="338" t="s">
        <v>275</v>
      </c>
      <c r="N103" s="335">
        <f t="shared" si="12"/>
        <v>4.4588071844803467</v>
      </c>
      <c r="O103" s="335">
        <f t="shared" si="13"/>
        <v>6.5129028253403805</v>
      </c>
      <c r="P103" s="335">
        <f t="shared" si="14"/>
        <v>71.411545138888883</v>
      </c>
      <c r="Q103" s="335">
        <f t="shared" si="15"/>
        <v>30.418264109899749</v>
      </c>
      <c r="R103" s="595">
        <v>101</v>
      </c>
    </row>
    <row r="104" spans="1:18">
      <c r="A104" s="607">
        <v>102</v>
      </c>
      <c r="B104" s="801"/>
      <c r="C104" s="598">
        <v>11</v>
      </c>
      <c r="D104" s="334">
        <v>12</v>
      </c>
      <c r="E104" s="335">
        <v>14.58</v>
      </c>
      <c r="F104" s="336" t="s">
        <v>285</v>
      </c>
      <c r="G104" s="334">
        <v>10</v>
      </c>
      <c r="H104" s="335">
        <v>12</v>
      </c>
      <c r="I104" s="335">
        <v>57.05</v>
      </c>
      <c r="J104" s="335">
        <v>51.5</v>
      </c>
      <c r="K104" s="335">
        <v>36.92</v>
      </c>
      <c r="L104" s="337">
        <v>28.53</v>
      </c>
      <c r="M104" s="338" t="s">
        <v>275</v>
      </c>
      <c r="N104" s="335">
        <f t="shared" si="12"/>
        <v>4.8665597309775226</v>
      </c>
      <c r="O104" s="335">
        <f t="shared" si="13"/>
        <v>7.1431070388710154</v>
      </c>
      <c r="P104" s="335">
        <f t="shared" si="14"/>
        <v>71.411545138888883</v>
      </c>
      <c r="Q104" s="335">
        <f t="shared" si="15"/>
        <v>30.573934970984673</v>
      </c>
      <c r="R104" s="595">
        <v>102</v>
      </c>
    </row>
    <row r="105" spans="1:18">
      <c r="A105" s="607">
        <v>103</v>
      </c>
      <c r="B105" s="801"/>
      <c r="C105" s="598">
        <v>12</v>
      </c>
      <c r="D105" s="334">
        <v>12</v>
      </c>
      <c r="E105" s="335">
        <v>14.58</v>
      </c>
      <c r="F105" s="336" t="s">
        <v>286</v>
      </c>
      <c r="G105" s="334">
        <v>12</v>
      </c>
      <c r="H105" s="335">
        <v>14.58</v>
      </c>
      <c r="I105" s="335">
        <v>57.05</v>
      </c>
      <c r="J105" s="335">
        <v>51.96</v>
      </c>
      <c r="K105" s="335">
        <v>37.380000000000003</v>
      </c>
      <c r="L105" s="337">
        <v>28.53</v>
      </c>
      <c r="M105" s="338" t="s">
        <v>275</v>
      </c>
      <c r="N105" s="335">
        <f t="shared" si="12"/>
        <v>5.3950308840709713</v>
      </c>
      <c r="O105" s="335">
        <f t="shared" si="13"/>
        <v>7.964279466837672</v>
      </c>
      <c r="P105" s="335">
        <f t="shared" si="14"/>
        <v>72.049395833333335</v>
      </c>
      <c r="Q105" s="335">
        <f t="shared" si="15"/>
        <v>31.02907743066924</v>
      </c>
      <c r="R105" s="595">
        <v>103</v>
      </c>
    </row>
    <row r="106" spans="1:18">
      <c r="A106" s="607">
        <v>104</v>
      </c>
      <c r="B106" s="801"/>
      <c r="C106" s="598">
        <v>13</v>
      </c>
      <c r="D106" s="334">
        <v>15</v>
      </c>
      <c r="E106" s="335">
        <v>17.73</v>
      </c>
      <c r="F106" s="336" t="s">
        <v>287</v>
      </c>
      <c r="G106" s="334">
        <v>4</v>
      </c>
      <c r="H106" s="335">
        <v>4.75</v>
      </c>
      <c r="I106" s="335">
        <v>56.77</v>
      </c>
      <c r="J106" s="335">
        <v>53.71</v>
      </c>
      <c r="K106" s="335">
        <v>35.979999999999997</v>
      </c>
      <c r="L106" s="337">
        <v>28.39</v>
      </c>
      <c r="M106" s="338" t="s">
        <v>275</v>
      </c>
      <c r="N106" s="335">
        <f t="shared" si="12"/>
        <v>5.9799934363129568</v>
      </c>
      <c r="O106" s="335">
        <f t="shared" si="13"/>
        <v>8.3570650109658065</v>
      </c>
      <c r="P106" s="335">
        <f t="shared" si="14"/>
        <v>74.110475347222234</v>
      </c>
      <c r="Q106" s="335">
        <f t="shared" si="15"/>
        <v>32.28135757081553</v>
      </c>
      <c r="R106" s="595">
        <v>104</v>
      </c>
    </row>
    <row r="107" spans="1:18">
      <c r="A107" s="607">
        <v>105</v>
      </c>
      <c r="B107" s="801"/>
      <c r="C107" s="598">
        <v>14</v>
      </c>
      <c r="D107" s="334">
        <v>15</v>
      </c>
      <c r="E107" s="335">
        <v>17.73</v>
      </c>
      <c r="F107" s="336" t="s">
        <v>288</v>
      </c>
      <c r="G107" s="334">
        <v>6</v>
      </c>
      <c r="H107" s="335">
        <v>7.05</v>
      </c>
      <c r="I107" s="335">
        <v>56.77</v>
      </c>
      <c r="J107" s="335">
        <v>54.35</v>
      </c>
      <c r="K107" s="335">
        <v>36.619999999999997</v>
      </c>
      <c r="L107" s="337">
        <v>28.39</v>
      </c>
      <c r="M107" s="338" t="s">
        <v>275</v>
      </c>
      <c r="N107" s="335">
        <f t="shared" si="12"/>
        <v>6.2084497631937978</v>
      </c>
      <c r="O107" s="335">
        <f t="shared" si="13"/>
        <v>8.6673276469645781</v>
      </c>
      <c r="P107" s="335">
        <f t="shared" si="14"/>
        <v>74.993564236111126</v>
      </c>
      <c r="Q107" s="335">
        <f t="shared" si="15"/>
        <v>32.738944398852418</v>
      </c>
      <c r="R107" s="595">
        <v>105</v>
      </c>
    </row>
    <row r="108" spans="1:18">
      <c r="A108" s="607">
        <v>106</v>
      </c>
      <c r="B108" s="801"/>
      <c r="C108" s="598">
        <v>15</v>
      </c>
      <c r="D108" s="334">
        <v>15</v>
      </c>
      <c r="E108" s="335">
        <v>17.73</v>
      </c>
      <c r="F108" s="336" t="s">
        <v>289</v>
      </c>
      <c r="G108" s="334">
        <v>8</v>
      </c>
      <c r="H108" s="335">
        <v>9.4</v>
      </c>
      <c r="I108" s="335">
        <v>56.77</v>
      </c>
      <c r="J108" s="335">
        <v>54.65</v>
      </c>
      <c r="K108" s="335">
        <v>36.92</v>
      </c>
      <c r="L108" s="337">
        <v>28.39</v>
      </c>
      <c r="M108" s="338" t="s">
        <v>275</v>
      </c>
      <c r="N108" s="335">
        <f t="shared" si="12"/>
        <v>6.5304993712128354</v>
      </c>
      <c r="O108" s="335">
        <f t="shared" si="13"/>
        <v>9.1119573870358614</v>
      </c>
      <c r="P108" s="335">
        <f t="shared" si="14"/>
        <v>75.407512152777784</v>
      </c>
      <c r="Q108" s="335">
        <f t="shared" si="15"/>
        <v>33.048721277509607</v>
      </c>
      <c r="R108" s="595">
        <v>106</v>
      </c>
    </row>
    <row r="109" spans="1:18">
      <c r="A109" s="607">
        <v>107</v>
      </c>
      <c r="B109" s="801"/>
      <c r="C109" s="598">
        <v>16</v>
      </c>
      <c r="D109" s="334">
        <v>15</v>
      </c>
      <c r="E109" s="335">
        <v>17.73</v>
      </c>
      <c r="F109" s="336" t="s">
        <v>290</v>
      </c>
      <c r="G109" s="334">
        <v>10</v>
      </c>
      <c r="H109" s="335">
        <v>12</v>
      </c>
      <c r="I109" s="335">
        <v>56.77</v>
      </c>
      <c r="J109" s="335">
        <v>54.65</v>
      </c>
      <c r="K109" s="335">
        <v>36.92</v>
      </c>
      <c r="L109" s="337">
        <v>28.39</v>
      </c>
      <c r="M109" s="338" t="s">
        <v>275</v>
      </c>
      <c r="N109" s="335">
        <f t="shared" si="12"/>
        <v>6.9382519177100104</v>
      </c>
      <c r="O109" s="335">
        <f t="shared" si="13"/>
        <v>9.7421616005664955</v>
      </c>
      <c r="P109" s="335">
        <f t="shared" si="14"/>
        <v>75.407512152777784</v>
      </c>
      <c r="Q109" s="335">
        <f t="shared" si="15"/>
        <v>33.204392138594528</v>
      </c>
      <c r="R109" s="595">
        <v>107</v>
      </c>
    </row>
    <row r="110" spans="1:18">
      <c r="A110" s="607">
        <v>108</v>
      </c>
      <c r="B110" s="801"/>
      <c r="C110" s="598">
        <v>17</v>
      </c>
      <c r="D110" s="334">
        <v>15</v>
      </c>
      <c r="E110" s="335">
        <v>17.73</v>
      </c>
      <c r="F110" s="336" t="s">
        <v>291</v>
      </c>
      <c r="G110" s="334">
        <v>12</v>
      </c>
      <c r="H110" s="335">
        <v>14.58</v>
      </c>
      <c r="I110" s="335">
        <v>56.77</v>
      </c>
      <c r="J110" s="335">
        <v>55.11</v>
      </c>
      <c r="K110" s="335">
        <v>37.380000000000003</v>
      </c>
      <c r="L110" s="337">
        <v>28.39</v>
      </c>
      <c r="M110" s="338" t="s">
        <v>275</v>
      </c>
      <c r="N110" s="335">
        <f t="shared" si="12"/>
        <v>7.46672307080346</v>
      </c>
      <c r="O110" s="335">
        <f t="shared" si="13"/>
        <v>10.563334028533152</v>
      </c>
      <c r="P110" s="335">
        <f t="shared" si="14"/>
        <v>76.042232291666664</v>
      </c>
      <c r="Q110" s="335">
        <f t="shared" si="15"/>
        <v>33.658282376056867</v>
      </c>
      <c r="R110" s="595">
        <v>108</v>
      </c>
    </row>
    <row r="111" spans="1:18">
      <c r="A111" s="607">
        <v>109</v>
      </c>
      <c r="B111" s="801"/>
      <c r="C111" s="598">
        <v>18</v>
      </c>
      <c r="D111" s="334">
        <v>15</v>
      </c>
      <c r="E111" s="335">
        <v>17.73</v>
      </c>
      <c r="F111" s="336" t="s">
        <v>292</v>
      </c>
      <c r="G111" s="334">
        <v>15</v>
      </c>
      <c r="H111" s="335">
        <v>17.73</v>
      </c>
      <c r="I111" s="335">
        <v>56.77</v>
      </c>
      <c r="J111" s="335">
        <v>53.86</v>
      </c>
      <c r="K111" s="335">
        <v>36.130000000000003</v>
      </c>
      <c r="L111" s="337">
        <v>28.39</v>
      </c>
      <c r="M111" s="338" t="s">
        <v>275</v>
      </c>
      <c r="N111" s="335">
        <f t="shared" si="12"/>
        <v>8.2732697159965589</v>
      </c>
      <c r="O111" s="335">
        <f t="shared" si="13"/>
        <v>11.558783678691977</v>
      </c>
      <c r="P111" s="335">
        <f t="shared" si="14"/>
        <v>74.317449305555556</v>
      </c>
      <c r="Q111" s="335">
        <f t="shared" si="15"/>
        <v>33.37673596674199</v>
      </c>
      <c r="R111" s="595">
        <v>109</v>
      </c>
    </row>
    <row r="112" spans="1:18">
      <c r="A112" s="607">
        <v>110</v>
      </c>
      <c r="B112" s="801"/>
      <c r="C112" s="598">
        <v>19</v>
      </c>
      <c r="D112" s="334">
        <v>18</v>
      </c>
      <c r="E112" s="335">
        <v>21.45</v>
      </c>
      <c r="F112" s="336" t="s">
        <v>293</v>
      </c>
      <c r="G112" s="334">
        <v>4</v>
      </c>
      <c r="H112" s="335">
        <v>4.75</v>
      </c>
      <c r="I112" s="335">
        <v>56.3</v>
      </c>
      <c r="J112" s="335">
        <v>57.43</v>
      </c>
      <c r="K112" s="335">
        <v>35.979999999999997</v>
      </c>
      <c r="L112" s="337">
        <v>28.15</v>
      </c>
      <c r="M112" s="338" t="s">
        <v>275</v>
      </c>
      <c r="N112" s="335">
        <f t="shared" si="12"/>
        <v>8.4652468434594148</v>
      </c>
      <c r="O112" s="335">
        <f t="shared" si="13"/>
        <v>12.019509645067723</v>
      </c>
      <c r="P112" s="335">
        <f t="shared" si="14"/>
        <v>78.587371527777776</v>
      </c>
      <c r="Q112" s="335">
        <f t="shared" si="15"/>
        <v>35.092391596543436</v>
      </c>
      <c r="R112" s="595">
        <v>110</v>
      </c>
    </row>
    <row r="113" spans="1:18">
      <c r="A113" s="607">
        <v>111</v>
      </c>
      <c r="B113" s="801"/>
      <c r="C113" s="598">
        <v>20</v>
      </c>
      <c r="D113" s="334">
        <v>18</v>
      </c>
      <c r="E113" s="335">
        <v>21.45</v>
      </c>
      <c r="F113" s="336" t="s">
        <v>294</v>
      </c>
      <c r="G113" s="334">
        <v>6</v>
      </c>
      <c r="H113" s="335">
        <v>7.05</v>
      </c>
      <c r="I113" s="335">
        <v>56.3</v>
      </c>
      <c r="J113" s="335">
        <v>58.07</v>
      </c>
      <c r="K113" s="335">
        <v>36.619999999999997</v>
      </c>
      <c r="L113" s="337">
        <v>28.15</v>
      </c>
      <c r="M113" s="338" t="s">
        <v>275</v>
      </c>
      <c r="N113" s="335">
        <f t="shared" si="12"/>
        <v>8.693703170340255</v>
      </c>
      <c r="O113" s="335">
        <f t="shared" si="13"/>
        <v>12.329772281066495</v>
      </c>
      <c r="P113" s="335">
        <f t="shared" si="14"/>
        <v>79.463149305555547</v>
      </c>
      <c r="Q113" s="335">
        <f t="shared" si="15"/>
        <v>35.547053980135878</v>
      </c>
      <c r="R113" s="595">
        <v>111</v>
      </c>
    </row>
    <row r="114" spans="1:18">
      <c r="A114" s="607">
        <v>112</v>
      </c>
      <c r="B114" s="801"/>
      <c r="C114" s="598">
        <v>21</v>
      </c>
      <c r="D114" s="334">
        <v>18</v>
      </c>
      <c r="E114" s="335">
        <v>21.45</v>
      </c>
      <c r="F114" s="336" t="s">
        <v>295</v>
      </c>
      <c r="G114" s="334">
        <v>8</v>
      </c>
      <c r="H114" s="335">
        <v>9.4</v>
      </c>
      <c r="I114" s="335">
        <v>56.3</v>
      </c>
      <c r="J114" s="335">
        <v>58.37</v>
      </c>
      <c r="K114" s="335">
        <v>36.92</v>
      </c>
      <c r="L114" s="337">
        <v>28.15</v>
      </c>
      <c r="M114" s="338" t="s">
        <v>275</v>
      </c>
      <c r="N114" s="335">
        <f t="shared" si="12"/>
        <v>9.0157527783592926</v>
      </c>
      <c r="O114" s="335">
        <f t="shared" si="13"/>
        <v>12.774402021137778</v>
      </c>
      <c r="P114" s="335">
        <f t="shared" si="14"/>
        <v>79.873670138888883</v>
      </c>
      <c r="Q114" s="335">
        <f t="shared" si="15"/>
        <v>35.855460025459735</v>
      </c>
      <c r="R114" s="595">
        <v>112</v>
      </c>
    </row>
    <row r="115" spans="1:18">
      <c r="A115" s="607">
        <v>113</v>
      </c>
      <c r="B115" s="801"/>
      <c r="C115" s="598">
        <v>22</v>
      </c>
      <c r="D115" s="334">
        <v>18</v>
      </c>
      <c r="E115" s="335">
        <v>21.45</v>
      </c>
      <c r="F115" s="336" t="s">
        <v>296</v>
      </c>
      <c r="G115" s="334">
        <v>10</v>
      </c>
      <c r="H115" s="335">
        <v>12</v>
      </c>
      <c r="I115" s="335">
        <v>56.3</v>
      </c>
      <c r="J115" s="335">
        <v>58.37</v>
      </c>
      <c r="K115" s="335">
        <v>36.92</v>
      </c>
      <c r="L115" s="337">
        <v>28.15</v>
      </c>
      <c r="M115" s="338" t="s">
        <v>275</v>
      </c>
      <c r="N115" s="335">
        <f t="shared" si="12"/>
        <v>9.4235053248564675</v>
      </c>
      <c r="O115" s="335">
        <f t="shared" si="13"/>
        <v>13.404606234668412</v>
      </c>
      <c r="P115" s="335">
        <f t="shared" si="14"/>
        <v>79.873670138888883</v>
      </c>
      <c r="Q115" s="335">
        <f t="shared" si="15"/>
        <v>36.011130886544663</v>
      </c>
      <c r="R115" s="595">
        <v>113</v>
      </c>
    </row>
    <row r="116" spans="1:18">
      <c r="A116" s="607">
        <v>114</v>
      </c>
      <c r="B116" s="801"/>
      <c r="C116" s="598">
        <v>23</v>
      </c>
      <c r="D116" s="334">
        <v>18</v>
      </c>
      <c r="E116" s="335">
        <v>21.45</v>
      </c>
      <c r="F116" s="336" t="s">
        <v>297</v>
      </c>
      <c r="G116" s="334">
        <v>12</v>
      </c>
      <c r="H116" s="335">
        <v>14.58</v>
      </c>
      <c r="I116" s="335">
        <v>56.3</v>
      </c>
      <c r="J116" s="335">
        <v>58.83</v>
      </c>
      <c r="K116" s="335">
        <v>37.380000000000003</v>
      </c>
      <c r="L116" s="337">
        <v>28.15</v>
      </c>
      <c r="M116" s="338" t="s">
        <v>275</v>
      </c>
      <c r="N116" s="335">
        <f t="shared" si="12"/>
        <v>9.9519764779499162</v>
      </c>
      <c r="O116" s="335">
        <f t="shared" si="13"/>
        <v>14.225778662635069</v>
      </c>
      <c r="P116" s="335">
        <f t="shared" si="14"/>
        <v>80.503135416666666</v>
      </c>
      <c r="Q116" s="335">
        <f t="shared" si="15"/>
        <v>36.462919179562562</v>
      </c>
      <c r="R116" s="595">
        <v>114</v>
      </c>
    </row>
    <row r="117" spans="1:18">
      <c r="A117" s="607">
        <v>115</v>
      </c>
      <c r="B117" s="801"/>
      <c r="C117" s="598">
        <v>24</v>
      </c>
      <c r="D117" s="334">
        <v>18</v>
      </c>
      <c r="E117" s="335">
        <v>21.45</v>
      </c>
      <c r="F117" s="336" t="s">
        <v>298</v>
      </c>
      <c r="G117" s="334">
        <v>15</v>
      </c>
      <c r="H117" s="335">
        <v>17.73</v>
      </c>
      <c r="I117" s="335">
        <v>56.3</v>
      </c>
      <c r="J117" s="335">
        <v>57.58</v>
      </c>
      <c r="K117" s="335">
        <v>36.130000000000003</v>
      </c>
      <c r="L117" s="337">
        <v>28.15</v>
      </c>
      <c r="M117" s="338" t="s">
        <v>275</v>
      </c>
      <c r="N117" s="335">
        <f t="shared" si="12"/>
        <v>10.758523123143016</v>
      </c>
      <c r="O117" s="335">
        <f t="shared" si="13"/>
        <v>15.221228312793894</v>
      </c>
      <c r="P117" s="335">
        <f t="shared" si="14"/>
        <v>78.792631944444452</v>
      </c>
      <c r="Q117" s="335">
        <f t="shared" si="15"/>
        <v>36.18708457580324</v>
      </c>
      <c r="R117" s="595">
        <v>115</v>
      </c>
    </row>
    <row r="118" spans="1:18">
      <c r="A118" s="607">
        <v>116</v>
      </c>
      <c r="B118" s="801"/>
      <c r="C118" s="598">
        <v>25</v>
      </c>
      <c r="D118" s="334">
        <v>18</v>
      </c>
      <c r="E118" s="335">
        <v>21.45</v>
      </c>
      <c r="F118" s="336" t="s">
        <v>299</v>
      </c>
      <c r="G118" s="334">
        <v>18</v>
      </c>
      <c r="H118" s="335">
        <v>21.45</v>
      </c>
      <c r="I118" s="335">
        <v>56.3</v>
      </c>
      <c r="J118" s="335">
        <v>59.97</v>
      </c>
      <c r="K118" s="335">
        <v>38.520000000000003</v>
      </c>
      <c r="L118" s="337">
        <v>28.15</v>
      </c>
      <c r="M118" s="338" t="s">
        <v>275</v>
      </c>
      <c r="N118" s="335">
        <f t="shared" si="12"/>
        <v>12.196251729858126</v>
      </c>
      <c r="O118" s="335">
        <f t="shared" si="13"/>
        <v>17.319524418324221</v>
      </c>
      <c r="P118" s="335">
        <f t="shared" si="14"/>
        <v>82.063114583333331</v>
      </c>
      <c r="Q118" s="335">
        <f t="shared" si="15"/>
        <v>38.093687795861769</v>
      </c>
      <c r="R118" s="595">
        <v>116</v>
      </c>
    </row>
    <row r="119" spans="1:18">
      <c r="A119" s="607">
        <v>117</v>
      </c>
      <c r="B119" s="801"/>
      <c r="C119" s="598">
        <v>26</v>
      </c>
      <c r="D119" s="334">
        <v>24</v>
      </c>
      <c r="E119" s="335">
        <v>28.2</v>
      </c>
      <c r="F119" s="336" t="s">
        <v>300</v>
      </c>
      <c r="G119" s="334">
        <v>4</v>
      </c>
      <c r="H119" s="335">
        <v>4.75</v>
      </c>
      <c r="I119" s="335">
        <v>59.02</v>
      </c>
      <c r="J119" s="335">
        <v>64.180000000000007</v>
      </c>
      <c r="K119" s="335">
        <v>35.979999999999997</v>
      </c>
      <c r="L119" s="337">
        <v>29.51</v>
      </c>
      <c r="M119" s="338" t="s">
        <v>275</v>
      </c>
      <c r="N119" s="335">
        <f t="shared" si="12"/>
        <v>15.6257873490009</v>
      </c>
      <c r="O119" s="335">
        <f t="shared" si="13"/>
        <v>21.578502539015457</v>
      </c>
      <c r="P119" s="335">
        <f t="shared" si="14"/>
        <v>92.067101388888915</v>
      </c>
      <c r="Q119" s="335">
        <f t="shared" si="15"/>
        <v>43.821226888950285</v>
      </c>
      <c r="R119" s="595">
        <v>117</v>
      </c>
    </row>
    <row r="120" spans="1:18">
      <c r="A120" s="607">
        <v>118</v>
      </c>
      <c r="B120" s="801"/>
      <c r="C120" s="598">
        <v>27</v>
      </c>
      <c r="D120" s="334">
        <v>24</v>
      </c>
      <c r="E120" s="335">
        <v>28.2</v>
      </c>
      <c r="F120" s="336" t="s">
        <v>301</v>
      </c>
      <c r="G120" s="334">
        <v>6</v>
      </c>
      <c r="H120" s="335">
        <v>7.05</v>
      </c>
      <c r="I120" s="335">
        <v>59.02</v>
      </c>
      <c r="J120" s="335">
        <v>64.819999999999993</v>
      </c>
      <c r="K120" s="335">
        <v>36.619999999999997</v>
      </c>
      <c r="L120" s="337">
        <v>29.51</v>
      </c>
      <c r="M120" s="338" t="s">
        <v>275</v>
      </c>
      <c r="N120" s="335">
        <f t="shared" si="12"/>
        <v>15.85424367588174</v>
      </c>
      <c r="O120" s="335">
        <f t="shared" si="13"/>
        <v>21.888765175014228</v>
      </c>
      <c r="P120" s="335">
        <f t="shared" si="14"/>
        <v>92.985190277777775</v>
      </c>
      <c r="Q120" s="335">
        <f t="shared" si="15"/>
        <v>44.292813716987162</v>
      </c>
      <c r="R120" s="595">
        <v>118</v>
      </c>
    </row>
    <row r="121" spans="1:18">
      <c r="A121" s="607">
        <v>119</v>
      </c>
      <c r="B121" s="801"/>
      <c r="C121" s="598">
        <v>28</v>
      </c>
      <c r="D121" s="334">
        <v>24</v>
      </c>
      <c r="E121" s="335">
        <v>28.2</v>
      </c>
      <c r="F121" s="336" t="s">
        <v>302</v>
      </c>
      <c r="G121" s="334">
        <v>8</v>
      </c>
      <c r="H121" s="335">
        <v>9.4</v>
      </c>
      <c r="I121" s="335">
        <v>59.02</v>
      </c>
      <c r="J121" s="335">
        <v>65.12</v>
      </c>
      <c r="K121" s="335">
        <v>36.92</v>
      </c>
      <c r="L121" s="337">
        <v>29.51</v>
      </c>
      <c r="M121" s="338" t="s">
        <v>275</v>
      </c>
      <c r="N121" s="335">
        <f t="shared" si="12"/>
        <v>16.176293283900776</v>
      </c>
      <c r="O121" s="335">
        <f t="shared" si="13"/>
        <v>22.333394915085513</v>
      </c>
      <c r="P121" s="335">
        <f t="shared" si="14"/>
        <v>93.41554444444445</v>
      </c>
      <c r="Q121" s="335">
        <f t="shared" si="15"/>
        <v>44.609153095644345</v>
      </c>
      <c r="R121" s="595">
        <v>119</v>
      </c>
    </row>
    <row r="122" spans="1:18">
      <c r="A122" s="607">
        <v>120</v>
      </c>
      <c r="B122" s="801"/>
      <c r="C122" s="598">
        <v>29</v>
      </c>
      <c r="D122" s="334">
        <v>24</v>
      </c>
      <c r="E122" s="335">
        <v>28.2</v>
      </c>
      <c r="F122" s="336" t="s">
        <v>303</v>
      </c>
      <c r="G122" s="334">
        <v>10</v>
      </c>
      <c r="H122" s="335">
        <v>12</v>
      </c>
      <c r="I122" s="335">
        <v>59.02</v>
      </c>
      <c r="J122" s="335">
        <v>65.12</v>
      </c>
      <c r="K122" s="335">
        <v>36.92</v>
      </c>
      <c r="L122" s="337">
        <v>29.51</v>
      </c>
      <c r="M122" s="338" t="s">
        <v>275</v>
      </c>
      <c r="N122" s="335">
        <f t="shared" si="12"/>
        <v>16.584045830397955</v>
      </c>
      <c r="O122" s="335">
        <f t="shared" si="13"/>
        <v>22.963599128616146</v>
      </c>
      <c r="P122" s="335">
        <f t="shared" si="14"/>
        <v>93.41554444444445</v>
      </c>
      <c r="Q122" s="335">
        <f t="shared" si="15"/>
        <v>44.76482395672928</v>
      </c>
      <c r="R122" s="595">
        <v>120</v>
      </c>
    </row>
    <row r="123" spans="1:18">
      <c r="A123" s="607">
        <v>121</v>
      </c>
      <c r="B123" s="801"/>
      <c r="C123" s="598">
        <v>30</v>
      </c>
      <c r="D123" s="334">
        <v>24</v>
      </c>
      <c r="E123" s="335">
        <v>28.2</v>
      </c>
      <c r="F123" s="336" t="s">
        <v>304</v>
      </c>
      <c r="G123" s="334">
        <v>12</v>
      </c>
      <c r="H123" s="335">
        <v>14.58</v>
      </c>
      <c r="I123" s="335">
        <v>59.02</v>
      </c>
      <c r="J123" s="335">
        <v>65.58</v>
      </c>
      <c r="K123" s="335">
        <v>37.380000000000003</v>
      </c>
      <c r="L123" s="337">
        <v>29.51</v>
      </c>
      <c r="M123" s="338" t="s">
        <v>275</v>
      </c>
      <c r="N123" s="335">
        <f t="shared" si="12"/>
        <v>17.112516983491403</v>
      </c>
      <c r="O123" s="335">
        <f t="shared" si="13"/>
        <v>23.784771556582804</v>
      </c>
      <c r="P123" s="335">
        <f t="shared" si="14"/>
        <v>94.075420833333339</v>
      </c>
      <c r="Q123" s="335">
        <f t="shared" si="15"/>
        <v>45.228776694191623</v>
      </c>
      <c r="R123" s="595">
        <v>121</v>
      </c>
    </row>
    <row r="124" spans="1:18">
      <c r="A124" s="607">
        <v>122</v>
      </c>
      <c r="B124" s="801"/>
      <c r="C124" s="598">
        <v>31</v>
      </c>
      <c r="D124" s="334">
        <v>24</v>
      </c>
      <c r="E124" s="335">
        <v>28.2</v>
      </c>
      <c r="F124" s="336" t="s">
        <v>305</v>
      </c>
      <c r="G124" s="334">
        <v>15</v>
      </c>
      <c r="H124" s="335">
        <v>17.73</v>
      </c>
      <c r="I124" s="335">
        <v>59.02</v>
      </c>
      <c r="J124" s="335">
        <v>64.33</v>
      </c>
      <c r="K124" s="335">
        <v>36.130000000000003</v>
      </c>
      <c r="L124" s="337">
        <v>29.51</v>
      </c>
      <c r="M124" s="338" t="s">
        <v>275</v>
      </c>
      <c r="N124" s="335">
        <f t="shared" si="12"/>
        <v>17.919063628684501</v>
      </c>
      <c r="O124" s="335">
        <f t="shared" si="13"/>
        <v>24.780221206741629</v>
      </c>
      <c r="P124" s="335">
        <f t="shared" si="14"/>
        <v>92.282278472222231</v>
      </c>
      <c r="Q124" s="335">
        <f t="shared" si="15"/>
        <v>44.919886534876738</v>
      </c>
      <c r="R124" s="595">
        <v>122</v>
      </c>
    </row>
    <row r="125" spans="1:18">
      <c r="A125" s="607">
        <v>123</v>
      </c>
      <c r="B125" s="801"/>
      <c r="C125" s="598">
        <v>32</v>
      </c>
      <c r="D125" s="334">
        <v>24</v>
      </c>
      <c r="E125" s="335">
        <v>28.2</v>
      </c>
      <c r="F125" s="336" t="s">
        <v>306</v>
      </c>
      <c r="G125" s="334">
        <v>18</v>
      </c>
      <c r="H125" s="335">
        <v>21.45</v>
      </c>
      <c r="I125" s="335">
        <v>59.02</v>
      </c>
      <c r="J125" s="335">
        <v>66.72</v>
      </c>
      <c r="K125" s="335">
        <v>38.520000000000003</v>
      </c>
      <c r="L125" s="337">
        <v>29.51</v>
      </c>
      <c r="M125" s="338" t="s">
        <v>275</v>
      </c>
      <c r="N125" s="335">
        <f t="shared" si="12"/>
        <v>19.35679223539961</v>
      </c>
      <c r="O125" s="335">
        <f t="shared" si="13"/>
        <v>26.878517312271956</v>
      </c>
      <c r="P125" s="335">
        <f t="shared" si="14"/>
        <v>95.710766666666672</v>
      </c>
      <c r="Q125" s="335">
        <f t="shared" si="15"/>
        <v>46.889691977157497</v>
      </c>
      <c r="R125" s="595">
        <v>123</v>
      </c>
    </row>
    <row r="126" spans="1:18">
      <c r="A126" s="607">
        <v>124</v>
      </c>
      <c r="B126" s="801"/>
      <c r="C126" s="598">
        <v>33</v>
      </c>
      <c r="D126" s="334">
        <v>24</v>
      </c>
      <c r="E126" s="335">
        <v>28.2</v>
      </c>
      <c r="F126" s="336" t="s">
        <v>650</v>
      </c>
      <c r="G126" s="334">
        <v>24</v>
      </c>
      <c r="H126" s="335">
        <v>28.2</v>
      </c>
      <c r="I126" s="335">
        <v>59.02</v>
      </c>
      <c r="J126" s="335">
        <v>66.67</v>
      </c>
      <c r="K126" s="335">
        <v>38.47</v>
      </c>
      <c r="L126" s="337">
        <v>29.51</v>
      </c>
      <c r="M126" s="338" t="s">
        <v>275</v>
      </c>
      <c r="N126" s="335">
        <f t="shared" si="12"/>
        <v>22.381229662949284</v>
      </c>
      <c r="O126" s="335">
        <f t="shared" si="13"/>
        <v>30.900085203409358</v>
      </c>
      <c r="P126" s="335">
        <f t="shared" si="14"/>
        <v>95.639040972222233</v>
      </c>
      <c r="Q126" s="335">
        <f t="shared" si="15"/>
        <v>48.276811970474434</v>
      </c>
      <c r="R126" s="595">
        <v>124</v>
      </c>
    </row>
    <row r="127" spans="1:18">
      <c r="A127" s="607">
        <v>125</v>
      </c>
      <c r="B127" s="801"/>
      <c r="C127" s="598">
        <v>34</v>
      </c>
      <c r="D127" s="334">
        <v>30</v>
      </c>
      <c r="E127" s="335">
        <v>34.89</v>
      </c>
      <c r="F127" s="336" t="s">
        <v>307</v>
      </c>
      <c r="G127" s="334">
        <v>4</v>
      </c>
      <c r="H127" s="335">
        <v>4.75</v>
      </c>
      <c r="I127" s="335">
        <v>60</v>
      </c>
      <c r="J127" s="335">
        <v>70.87</v>
      </c>
      <c r="K127" s="335">
        <v>35.979999999999997</v>
      </c>
      <c r="L127" s="337">
        <v>30</v>
      </c>
      <c r="M127" s="338" t="s">
        <v>275</v>
      </c>
      <c r="N127" s="335">
        <f t="shared" si="12"/>
        <v>24.718080087265356</v>
      </c>
      <c r="O127" s="335">
        <f t="shared" si="13"/>
        <v>33.44295136102312</v>
      </c>
      <c r="P127" s="335">
        <f t="shared" si="14"/>
        <v>103.35208333333334</v>
      </c>
      <c r="Q127" s="335">
        <f t="shared" si="15"/>
        <v>52.681732876189443</v>
      </c>
      <c r="R127" s="595">
        <v>125</v>
      </c>
    </row>
    <row r="128" spans="1:18">
      <c r="A128" s="607">
        <v>126</v>
      </c>
      <c r="B128" s="801"/>
      <c r="C128" s="598">
        <v>35</v>
      </c>
      <c r="D128" s="334">
        <v>30</v>
      </c>
      <c r="E128" s="335">
        <v>34.89</v>
      </c>
      <c r="F128" s="336" t="s">
        <v>308</v>
      </c>
      <c r="G128" s="334">
        <v>6</v>
      </c>
      <c r="H128" s="335">
        <v>7.05</v>
      </c>
      <c r="I128" s="335">
        <v>60</v>
      </c>
      <c r="J128" s="335">
        <v>71.510000000000005</v>
      </c>
      <c r="K128" s="335">
        <v>36.619999999999997</v>
      </c>
      <c r="L128" s="337">
        <v>30</v>
      </c>
      <c r="M128" s="338" t="s">
        <v>275</v>
      </c>
      <c r="N128" s="335">
        <f t="shared" si="12"/>
        <v>24.946536414146198</v>
      </c>
      <c r="O128" s="335">
        <f t="shared" si="13"/>
        <v>33.753213997021888</v>
      </c>
      <c r="P128" s="335">
        <f t="shared" si="14"/>
        <v>104.28541666666668</v>
      </c>
      <c r="Q128" s="335">
        <f t="shared" si="15"/>
        <v>53.159417482004116</v>
      </c>
      <c r="R128" s="595">
        <v>126</v>
      </c>
    </row>
    <row r="129" spans="1:18">
      <c r="A129" s="607">
        <v>127</v>
      </c>
      <c r="B129" s="801"/>
      <c r="C129" s="598">
        <v>36</v>
      </c>
      <c r="D129" s="334">
        <v>30</v>
      </c>
      <c r="E129" s="335">
        <v>34.89</v>
      </c>
      <c r="F129" s="336" t="s">
        <v>309</v>
      </c>
      <c r="G129" s="334">
        <v>8</v>
      </c>
      <c r="H129" s="335">
        <v>9.4</v>
      </c>
      <c r="I129" s="335">
        <v>60</v>
      </c>
      <c r="J129" s="335">
        <v>71.81</v>
      </c>
      <c r="K129" s="335">
        <v>36.92</v>
      </c>
      <c r="L129" s="337">
        <v>30</v>
      </c>
      <c r="M129" s="338" t="s">
        <v>275</v>
      </c>
      <c r="N129" s="335">
        <f t="shared" si="12"/>
        <v>25.268586022165234</v>
      </c>
      <c r="O129" s="335">
        <f t="shared" si="13"/>
        <v>34.197843737093173</v>
      </c>
      <c r="P129" s="335">
        <f t="shared" si="14"/>
        <v>104.72291666666668</v>
      </c>
      <c r="Q129" s="335">
        <f t="shared" si="15"/>
        <v>53.478615193994635</v>
      </c>
      <c r="R129" s="595">
        <v>127</v>
      </c>
    </row>
    <row r="130" spans="1:18">
      <c r="A130" s="607">
        <v>128</v>
      </c>
      <c r="B130" s="801"/>
      <c r="C130" s="598">
        <v>37</v>
      </c>
      <c r="D130" s="334">
        <v>30</v>
      </c>
      <c r="E130" s="335">
        <v>34.89</v>
      </c>
      <c r="F130" s="336" t="s">
        <v>310</v>
      </c>
      <c r="G130" s="334">
        <v>10</v>
      </c>
      <c r="H130" s="335">
        <v>12</v>
      </c>
      <c r="I130" s="335">
        <v>60</v>
      </c>
      <c r="J130" s="335">
        <v>71.81</v>
      </c>
      <c r="K130" s="335">
        <v>36.92</v>
      </c>
      <c r="L130" s="337">
        <v>30</v>
      </c>
      <c r="M130" s="338" t="s">
        <v>275</v>
      </c>
      <c r="N130" s="335">
        <f t="shared" si="12"/>
        <v>25.676338568662409</v>
      </c>
      <c r="O130" s="335">
        <f t="shared" si="13"/>
        <v>34.828047950623805</v>
      </c>
      <c r="P130" s="335">
        <f t="shared" si="14"/>
        <v>104.72291666666668</v>
      </c>
      <c r="Q130" s="335">
        <f t="shared" si="15"/>
        <v>53.634286055079563</v>
      </c>
      <c r="R130" s="595">
        <v>128</v>
      </c>
    </row>
    <row r="131" spans="1:18">
      <c r="A131" s="607">
        <v>129</v>
      </c>
      <c r="B131" s="801"/>
      <c r="C131" s="598">
        <v>38</v>
      </c>
      <c r="D131" s="334">
        <v>30</v>
      </c>
      <c r="E131" s="335">
        <v>34.89</v>
      </c>
      <c r="F131" s="336" t="s">
        <v>311</v>
      </c>
      <c r="G131" s="334">
        <v>12</v>
      </c>
      <c r="H131" s="335">
        <v>14.58</v>
      </c>
      <c r="I131" s="335">
        <v>60</v>
      </c>
      <c r="J131" s="335">
        <v>72.27</v>
      </c>
      <c r="K131" s="335">
        <v>37.380000000000003</v>
      </c>
      <c r="L131" s="337">
        <v>30</v>
      </c>
      <c r="M131" s="338" t="s">
        <v>275</v>
      </c>
      <c r="N131" s="335">
        <f t="shared" si="12"/>
        <v>26.204809721755861</v>
      </c>
      <c r="O131" s="335">
        <f t="shared" si="13"/>
        <v>35.649220378590464</v>
      </c>
      <c r="P131" s="335">
        <f t="shared" si="14"/>
        <v>105.39375</v>
      </c>
      <c r="Q131" s="335">
        <f t="shared" si="15"/>
        <v>54.10262157031967</v>
      </c>
      <c r="R131" s="595">
        <v>129</v>
      </c>
    </row>
    <row r="132" spans="1:18">
      <c r="A132" s="607">
        <v>130</v>
      </c>
      <c r="B132" s="801"/>
      <c r="C132" s="598">
        <v>39</v>
      </c>
      <c r="D132" s="334">
        <v>30</v>
      </c>
      <c r="E132" s="335">
        <v>34.89</v>
      </c>
      <c r="F132" s="340" t="s">
        <v>312</v>
      </c>
      <c r="G132" s="334">
        <v>15</v>
      </c>
      <c r="H132" s="335">
        <v>17.73</v>
      </c>
      <c r="I132" s="335">
        <v>60</v>
      </c>
      <c r="J132" s="335">
        <v>71.02</v>
      </c>
      <c r="K132" s="335">
        <v>36.130000000000003</v>
      </c>
      <c r="L132" s="337">
        <v>30</v>
      </c>
      <c r="M132" s="338" t="s">
        <v>275</v>
      </c>
      <c r="N132" s="335">
        <f t="shared" si="12"/>
        <v>27.011356366948959</v>
      </c>
      <c r="O132" s="335">
        <f t="shared" si="13"/>
        <v>36.644670028749289</v>
      </c>
      <c r="P132" s="335">
        <f t="shared" si="14"/>
        <v>103.57083333333333</v>
      </c>
      <c r="Q132" s="335">
        <f t="shared" si="15"/>
        <v>53.781821688782571</v>
      </c>
      <c r="R132" s="595">
        <v>130</v>
      </c>
    </row>
    <row r="133" spans="1:18">
      <c r="A133" s="607">
        <v>131</v>
      </c>
      <c r="B133" s="801"/>
      <c r="C133" s="598">
        <v>40</v>
      </c>
      <c r="D133" s="334">
        <v>30</v>
      </c>
      <c r="E133" s="335">
        <v>34.89</v>
      </c>
      <c r="F133" s="340" t="s">
        <v>313</v>
      </c>
      <c r="G133" s="334">
        <v>18</v>
      </c>
      <c r="H133" s="335">
        <v>21.45</v>
      </c>
      <c r="I133" s="335">
        <v>60</v>
      </c>
      <c r="J133" s="335">
        <v>73.41</v>
      </c>
      <c r="K133" s="335">
        <v>38.520000000000003</v>
      </c>
      <c r="L133" s="337">
        <v>30</v>
      </c>
      <c r="M133" s="338" t="s">
        <v>275</v>
      </c>
      <c r="N133" s="335">
        <f t="shared" si="12"/>
        <v>28.449084973664068</v>
      </c>
      <c r="O133" s="335">
        <f t="shared" si="13"/>
        <v>38.742966134279612</v>
      </c>
      <c r="P133" s="335">
        <f t="shared" si="14"/>
        <v>107.05624999999999</v>
      </c>
      <c r="Q133" s="335">
        <f t="shared" si="15"/>
        <v>55.774398519952221</v>
      </c>
      <c r="R133" s="595">
        <v>131</v>
      </c>
    </row>
    <row r="134" spans="1:18">
      <c r="A134" s="607">
        <v>132</v>
      </c>
      <c r="B134" s="801"/>
      <c r="C134" s="598">
        <v>41</v>
      </c>
      <c r="D134" s="334">
        <v>30</v>
      </c>
      <c r="E134" s="335">
        <v>34.89</v>
      </c>
      <c r="F134" s="340" t="s">
        <v>651</v>
      </c>
      <c r="G134" s="334">
        <v>24</v>
      </c>
      <c r="H134" s="335">
        <v>28.2</v>
      </c>
      <c r="I134" s="335">
        <v>60</v>
      </c>
      <c r="J134" s="335">
        <v>73.36</v>
      </c>
      <c r="K134" s="335">
        <v>38.47</v>
      </c>
      <c r="L134" s="337">
        <v>30</v>
      </c>
      <c r="M134" s="338" t="s">
        <v>275</v>
      </c>
      <c r="N134" s="335">
        <f t="shared" si="12"/>
        <v>31.473522401213742</v>
      </c>
      <c r="O134" s="335">
        <f t="shared" si="13"/>
        <v>42.764534025417021</v>
      </c>
      <c r="P134" s="335">
        <f t="shared" si="14"/>
        <v>106.98333333333333</v>
      </c>
      <c r="Q134" s="335">
        <f t="shared" si="15"/>
        <v>57.161042124380273</v>
      </c>
      <c r="R134" s="595">
        <v>132</v>
      </c>
    </row>
    <row r="135" spans="1:18">
      <c r="A135" s="607">
        <v>133</v>
      </c>
      <c r="B135" s="801"/>
      <c r="C135" s="598">
        <v>42</v>
      </c>
      <c r="D135" s="334">
        <v>36</v>
      </c>
      <c r="E135" s="335">
        <v>40.9</v>
      </c>
      <c r="F135" s="336" t="s">
        <v>314</v>
      </c>
      <c r="G135" s="334">
        <v>4</v>
      </c>
      <c r="H135" s="335">
        <v>4.75</v>
      </c>
      <c r="I135" s="335">
        <v>60</v>
      </c>
      <c r="J135" s="335">
        <v>76.88</v>
      </c>
      <c r="K135" s="335">
        <v>35.979999999999997</v>
      </c>
      <c r="L135" s="337">
        <v>30</v>
      </c>
      <c r="M135" s="338" t="s">
        <v>275</v>
      </c>
      <c r="N135" s="335">
        <f t="shared" si="12"/>
        <v>35.517304833980276</v>
      </c>
      <c r="O135" s="335">
        <f t="shared" si="13"/>
        <v>45.864729628085421</v>
      </c>
      <c r="P135" s="335">
        <f t="shared" si="14"/>
        <v>112.11666666666666</v>
      </c>
      <c r="Q135" s="335">
        <f t="shared" si="15"/>
        <v>62.018079649412776</v>
      </c>
      <c r="R135" s="595">
        <v>133</v>
      </c>
    </row>
    <row r="136" spans="1:18">
      <c r="A136" s="607">
        <v>134</v>
      </c>
      <c r="B136" s="801"/>
      <c r="C136" s="598">
        <v>43</v>
      </c>
      <c r="D136" s="334">
        <v>36</v>
      </c>
      <c r="E136" s="335">
        <v>40.9</v>
      </c>
      <c r="F136" s="336" t="s">
        <v>315</v>
      </c>
      <c r="G136" s="334">
        <v>6</v>
      </c>
      <c r="H136" s="335">
        <v>7.05</v>
      </c>
      <c r="I136" s="335">
        <v>60</v>
      </c>
      <c r="J136" s="335">
        <v>77.52</v>
      </c>
      <c r="K136" s="335">
        <v>36.619999999999997</v>
      </c>
      <c r="L136" s="337">
        <v>30</v>
      </c>
      <c r="M136" s="338" t="s">
        <v>275</v>
      </c>
      <c r="N136" s="335">
        <f t="shared" si="12"/>
        <v>35.745761160861115</v>
      </c>
      <c r="O136" s="335">
        <f t="shared" si="13"/>
        <v>46.174992264084189</v>
      </c>
      <c r="P136" s="335">
        <f t="shared" si="14"/>
        <v>113.05</v>
      </c>
      <c r="Q136" s="335">
        <f t="shared" si="15"/>
        <v>62.495764255227435</v>
      </c>
      <c r="R136" s="595">
        <v>134</v>
      </c>
    </row>
    <row r="137" spans="1:18">
      <c r="A137" s="607">
        <v>135</v>
      </c>
      <c r="B137" s="801"/>
      <c r="C137" s="598">
        <v>44</v>
      </c>
      <c r="D137" s="334">
        <v>36</v>
      </c>
      <c r="E137" s="335">
        <v>40.9</v>
      </c>
      <c r="F137" s="336" t="s">
        <v>316</v>
      </c>
      <c r="G137" s="334">
        <v>8</v>
      </c>
      <c r="H137" s="335">
        <v>9.4</v>
      </c>
      <c r="I137" s="335">
        <v>60</v>
      </c>
      <c r="J137" s="335">
        <v>77.819999999999993</v>
      </c>
      <c r="K137" s="335">
        <v>36.92</v>
      </c>
      <c r="L137" s="337">
        <v>30</v>
      </c>
      <c r="M137" s="338" t="s">
        <v>275</v>
      </c>
      <c r="N137" s="335">
        <f t="shared" si="12"/>
        <v>36.06781076888015</v>
      </c>
      <c r="O137" s="335">
        <f t="shared" si="13"/>
        <v>46.619622004155474</v>
      </c>
      <c r="P137" s="335">
        <f t="shared" si="14"/>
        <v>113.4875</v>
      </c>
      <c r="Q137" s="335">
        <f t="shared" si="15"/>
        <v>62.814961967217961</v>
      </c>
      <c r="R137" s="595">
        <v>135</v>
      </c>
    </row>
    <row r="138" spans="1:18">
      <c r="A138" s="607">
        <v>136</v>
      </c>
      <c r="B138" s="801"/>
      <c r="C138" s="598">
        <v>45</v>
      </c>
      <c r="D138" s="334">
        <v>36</v>
      </c>
      <c r="E138" s="335">
        <v>40.9</v>
      </c>
      <c r="F138" s="336" t="s">
        <v>317</v>
      </c>
      <c r="G138" s="334">
        <v>10</v>
      </c>
      <c r="H138" s="335">
        <v>12</v>
      </c>
      <c r="I138" s="335">
        <v>60</v>
      </c>
      <c r="J138" s="335">
        <v>77.819999999999993</v>
      </c>
      <c r="K138" s="335">
        <v>36.92</v>
      </c>
      <c r="L138" s="337">
        <v>30</v>
      </c>
      <c r="M138" s="338" t="s">
        <v>275</v>
      </c>
      <c r="N138" s="335">
        <f t="shared" si="12"/>
        <v>36.475563315377329</v>
      </c>
      <c r="O138" s="335">
        <f t="shared" si="13"/>
        <v>47.249826217686106</v>
      </c>
      <c r="P138" s="335">
        <f t="shared" si="14"/>
        <v>113.4875</v>
      </c>
      <c r="Q138" s="335">
        <f t="shared" si="15"/>
        <v>62.970632828302882</v>
      </c>
      <c r="R138" s="595">
        <v>136</v>
      </c>
    </row>
    <row r="139" spans="1:18">
      <c r="A139" s="607">
        <v>137</v>
      </c>
      <c r="B139" s="801"/>
      <c r="C139" s="598">
        <v>46</v>
      </c>
      <c r="D139" s="334">
        <v>36</v>
      </c>
      <c r="E139" s="335">
        <v>40.9</v>
      </c>
      <c r="F139" s="336" t="s">
        <v>318</v>
      </c>
      <c r="G139" s="334">
        <v>12</v>
      </c>
      <c r="H139" s="335">
        <v>14.58</v>
      </c>
      <c r="I139" s="335">
        <v>60</v>
      </c>
      <c r="J139" s="335">
        <v>78.28</v>
      </c>
      <c r="K139" s="335">
        <v>37.380000000000003</v>
      </c>
      <c r="L139" s="337">
        <v>30</v>
      </c>
      <c r="M139" s="338" t="s">
        <v>275</v>
      </c>
      <c r="N139" s="335">
        <f t="shared" si="12"/>
        <v>37.004034468470778</v>
      </c>
      <c r="O139" s="335">
        <f t="shared" si="13"/>
        <v>48.070998645652764</v>
      </c>
      <c r="P139" s="335">
        <f t="shared" si="14"/>
        <v>114.15833333333333</v>
      </c>
      <c r="Q139" s="335">
        <f t="shared" si="15"/>
        <v>63.43896834354301</v>
      </c>
      <c r="R139" s="595">
        <v>137</v>
      </c>
    </row>
    <row r="140" spans="1:18">
      <c r="A140" s="607">
        <v>138</v>
      </c>
      <c r="B140" s="801"/>
      <c r="C140" s="598">
        <v>47</v>
      </c>
      <c r="D140" s="334">
        <v>36</v>
      </c>
      <c r="E140" s="335">
        <v>40.9</v>
      </c>
      <c r="F140" s="340" t="s">
        <v>319</v>
      </c>
      <c r="G140" s="334">
        <v>15</v>
      </c>
      <c r="H140" s="335">
        <v>17.73</v>
      </c>
      <c r="I140" s="335">
        <v>60</v>
      </c>
      <c r="J140" s="335">
        <v>77.03</v>
      </c>
      <c r="K140" s="335">
        <v>36.130000000000003</v>
      </c>
      <c r="L140" s="337">
        <v>30</v>
      </c>
      <c r="M140" s="338" t="s">
        <v>275</v>
      </c>
      <c r="N140" s="335">
        <f t="shared" si="12"/>
        <v>37.810581113663872</v>
      </c>
      <c r="O140" s="335">
        <f t="shared" si="13"/>
        <v>49.06644829581159</v>
      </c>
      <c r="P140" s="335">
        <f t="shared" si="14"/>
        <v>112.33541666666667</v>
      </c>
      <c r="Q140" s="335">
        <f t="shared" si="15"/>
        <v>63.118168462005912</v>
      </c>
      <c r="R140" s="595">
        <v>138</v>
      </c>
    </row>
    <row r="141" spans="1:18">
      <c r="A141" s="607">
        <v>139</v>
      </c>
      <c r="B141" s="801"/>
      <c r="C141" s="598">
        <v>48</v>
      </c>
      <c r="D141" s="334">
        <v>36</v>
      </c>
      <c r="E141" s="335">
        <v>40.9</v>
      </c>
      <c r="F141" s="340" t="s">
        <v>320</v>
      </c>
      <c r="G141" s="334">
        <v>18</v>
      </c>
      <c r="H141" s="335">
        <v>21.45</v>
      </c>
      <c r="I141" s="335">
        <v>60</v>
      </c>
      <c r="J141" s="335">
        <v>79.42</v>
      </c>
      <c r="K141" s="335">
        <v>38.520000000000003</v>
      </c>
      <c r="L141" s="337">
        <v>30</v>
      </c>
      <c r="M141" s="338" t="s">
        <v>275</v>
      </c>
      <c r="N141" s="335">
        <f t="shared" si="12"/>
        <v>39.248309720378984</v>
      </c>
      <c r="O141" s="335">
        <f t="shared" si="13"/>
        <v>51.16474440134192</v>
      </c>
      <c r="P141" s="335">
        <f t="shared" si="14"/>
        <v>115.82083333333333</v>
      </c>
      <c r="Q141" s="335">
        <f t="shared" si="15"/>
        <v>65.11074529317554</v>
      </c>
      <c r="R141" s="595">
        <v>139</v>
      </c>
    </row>
    <row r="142" spans="1:18">
      <c r="A142" s="607">
        <v>140</v>
      </c>
      <c r="B142" s="801"/>
      <c r="C142" s="598">
        <v>49</v>
      </c>
      <c r="D142" s="334">
        <v>36</v>
      </c>
      <c r="E142" s="335">
        <v>40.9</v>
      </c>
      <c r="F142" s="340" t="s">
        <v>652</v>
      </c>
      <c r="G142" s="334">
        <v>24</v>
      </c>
      <c r="H142" s="335">
        <v>28.2</v>
      </c>
      <c r="I142" s="335">
        <v>60</v>
      </c>
      <c r="J142" s="335">
        <v>79.37</v>
      </c>
      <c r="K142" s="335">
        <v>38.47</v>
      </c>
      <c r="L142" s="337">
        <v>30</v>
      </c>
      <c r="M142" s="338" t="s">
        <v>275</v>
      </c>
      <c r="N142" s="335">
        <f t="shared" si="12"/>
        <v>42.272747147928655</v>
      </c>
      <c r="O142" s="335">
        <f t="shared" si="13"/>
        <v>55.186312292479315</v>
      </c>
      <c r="P142" s="335">
        <f t="shared" si="14"/>
        <v>115.74791666666668</v>
      </c>
      <c r="Q142" s="335">
        <f t="shared" si="15"/>
        <v>66.497388897603599</v>
      </c>
      <c r="R142" s="595">
        <v>140</v>
      </c>
    </row>
    <row r="143" spans="1:18">
      <c r="A143" s="607">
        <v>141</v>
      </c>
      <c r="B143" s="801"/>
      <c r="C143" s="598">
        <v>50</v>
      </c>
      <c r="D143" s="334">
        <v>42</v>
      </c>
      <c r="E143" s="335">
        <v>47.53</v>
      </c>
      <c r="F143" s="336" t="s">
        <v>321</v>
      </c>
      <c r="G143" s="334">
        <v>4</v>
      </c>
      <c r="H143" s="335">
        <v>4.75</v>
      </c>
      <c r="I143" s="335">
        <v>58.67</v>
      </c>
      <c r="J143" s="335">
        <v>83.51</v>
      </c>
      <c r="K143" s="335">
        <v>35.979999999999997</v>
      </c>
      <c r="L143" s="337">
        <v>29.34</v>
      </c>
      <c r="M143" s="338" t="s">
        <v>275</v>
      </c>
      <c r="N143" s="335">
        <f t="shared" si="12"/>
        <v>47.2136833577594</v>
      </c>
      <c r="O143" s="335">
        <f t="shared" si="13"/>
        <v>60.487702513813524</v>
      </c>
      <c r="P143" s="335">
        <f t="shared" si="14"/>
        <v>119.08583993055555</v>
      </c>
      <c r="Q143" s="335">
        <f t="shared" si="15"/>
        <v>70.652938324456215</v>
      </c>
      <c r="R143" s="595">
        <v>141</v>
      </c>
    </row>
    <row r="144" spans="1:18">
      <c r="A144" s="607">
        <v>142</v>
      </c>
      <c r="B144" s="801"/>
      <c r="C144" s="598">
        <v>51</v>
      </c>
      <c r="D144" s="334">
        <v>42</v>
      </c>
      <c r="E144" s="335">
        <v>47.53</v>
      </c>
      <c r="F144" s="336" t="s">
        <v>322</v>
      </c>
      <c r="G144" s="334">
        <v>6</v>
      </c>
      <c r="H144" s="335">
        <v>7.05</v>
      </c>
      <c r="I144" s="335">
        <v>58.67</v>
      </c>
      <c r="J144" s="335">
        <v>84.15</v>
      </c>
      <c r="K144" s="335">
        <v>36.619999999999997</v>
      </c>
      <c r="L144" s="337">
        <v>29.34</v>
      </c>
      <c r="M144" s="338" t="s">
        <v>275</v>
      </c>
      <c r="N144" s="335">
        <f t="shared" si="12"/>
        <v>47.442139684640239</v>
      </c>
      <c r="O144" s="335">
        <f t="shared" si="13"/>
        <v>60.797965149812292</v>
      </c>
      <c r="P144" s="335">
        <f t="shared" si="14"/>
        <v>119.99848437499999</v>
      </c>
      <c r="Q144" s="335">
        <f t="shared" si="15"/>
        <v>71.122347374715318</v>
      </c>
      <c r="R144" s="595">
        <v>142</v>
      </c>
    </row>
    <row r="145" spans="1:18">
      <c r="A145" s="607">
        <v>143</v>
      </c>
      <c r="B145" s="801"/>
      <c r="C145" s="598">
        <v>52</v>
      </c>
      <c r="D145" s="334">
        <v>42</v>
      </c>
      <c r="E145" s="335">
        <v>47.53</v>
      </c>
      <c r="F145" s="336" t="s">
        <v>323</v>
      </c>
      <c r="G145" s="334">
        <v>8</v>
      </c>
      <c r="H145" s="335">
        <v>9.4</v>
      </c>
      <c r="I145" s="335">
        <v>58.67</v>
      </c>
      <c r="J145" s="335">
        <v>84.45</v>
      </c>
      <c r="K145" s="335">
        <v>36.92</v>
      </c>
      <c r="L145" s="337">
        <v>29.34</v>
      </c>
      <c r="M145" s="338" t="s">
        <v>275</v>
      </c>
      <c r="N145" s="335">
        <f t="shared" si="12"/>
        <v>47.764189292659275</v>
      </c>
      <c r="O145" s="335">
        <f t="shared" si="13"/>
        <v>61.242594889883577</v>
      </c>
      <c r="P145" s="335">
        <f t="shared" si="14"/>
        <v>120.42628645833332</v>
      </c>
      <c r="Q145" s="335">
        <f t="shared" si="15"/>
        <v>71.437665920039166</v>
      </c>
      <c r="R145" s="595">
        <v>143</v>
      </c>
    </row>
    <row r="146" spans="1:18">
      <c r="A146" s="607">
        <v>144</v>
      </c>
      <c r="B146" s="801"/>
      <c r="C146" s="598">
        <v>53</v>
      </c>
      <c r="D146" s="334">
        <v>42</v>
      </c>
      <c r="E146" s="335">
        <v>47.53</v>
      </c>
      <c r="F146" s="336" t="s">
        <v>324</v>
      </c>
      <c r="G146" s="334">
        <v>10</v>
      </c>
      <c r="H146" s="335">
        <v>12</v>
      </c>
      <c r="I146" s="335">
        <v>58.67</v>
      </c>
      <c r="J146" s="335">
        <v>84.45</v>
      </c>
      <c r="K146" s="335">
        <v>36.92</v>
      </c>
      <c r="L146" s="337">
        <v>29.34</v>
      </c>
      <c r="M146" s="338" t="s">
        <v>275</v>
      </c>
      <c r="N146" s="335">
        <f t="shared" si="12"/>
        <v>48.171941839156453</v>
      </c>
      <c r="O146" s="335">
        <f t="shared" si="13"/>
        <v>61.872799103414209</v>
      </c>
      <c r="P146" s="335">
        <f t="shared" si="14"/>
        <v>120.42628645833332</v>
      </c>
      <c r="Q146" s="335">
        <f t="shared" si="15"/>
        <v>71.593336781124094</v>
      </c>
      <c r="R146" s="595">
        <v>144</v>
      </c>
    </row>
    <row r="147" spans="1:18">
      <c r="A147" s="607">
        <v>145</v>
      </c>
      <c r="B147" s="801"/>
      <c r="C147" s="598">
        <v>54</v>
      </c>
      <c r="D147" s="334">
        <v>42</v>
      </c>
      <c r="E147" s="335">
        <v>47.53</v>
      </c>
      <c r="F147" s="336" t="s">
        <v>325</v>
      </c>
      <c r="G147" s="334">
        <v>12</v>
      </c>
      <c r="H147" s="335">
        <v>14.58</v>
      </c>
      <c r="I147" s="335">
        <v>58.67</v>
      </c>
      <c r="J147" s="335">
        <v>84.91</v>
      </c>
      <c r="K147" s="335">
        <v>37.380000000000003</v>
      </c>
      <c r="L147" s="337">
        <v>29.34</v>
      </c>
      <c r="M147" s="338" t="s">
        <v>275</v>
      </c>
      <c r="N147" s="335">
        <f t="shared" si="12"/>
        <v>48.700412992249902</v>
      </c>
      <c r="O147" s="335">
        <f t="shared" si="13"/>
        <v>62.693971531380868</v>
      </c>
      <c r="P147" s="335">
        <f t="shared" si="14"/>
        <v>121.08224965277776</v>
      </c>
      <c r="Q147" s="335">
        <f t="shared" si="15"/>
        <v>72.055724240808658</v>
      </c>
      <c r="R147" s="595">
        <v>145</v>
      </c>
    </row>
    <row r="148" spans="1:18">
      <c r="A148" s="607">
        <v>146</v>
      </c>
      <c r="B148" s="801"/>
      <c r="C148" s="598">
        <v>55</v>
      </c>
      <c r="D148" s="334">
        <v>42</v>
      </c>
      <c r="E148" s="335">
        <v>47.53</v>
      </c>
      <c r="F148" s="340" t="s">
        <v>326</v>
      </c>
      <c r="G148" s="334">
        <v>15</v>
      </c>
      <c r="H148" s="335">
        <v>17.73</v>
      </c>
      <c r="I148" s="335">
        <v>58.67</v>
      </c>
      <c r="J148" s="335">
        <v>83.66</v>
      </c>
      <c r="K148" s="335">
        <v>36.130000000000003</v>
      </c>
      <c r="L148" s="337">
        <v>29.34</v>
      </c>
      <c r="M148" s="338" t="s">
        <v>275</v>
      </c>
      <c r="N148" s="335">
        <f t="shared" si="12"/>
        <v>49.506959637442996</v>
      </c>
      <c r="O148" s="335">
        <f t="shared" si="13"/>
        <v>63.689421181539693</v>
      </c>
      <c r="P148" s="335">
        <f t="shared" si="14"/>
        <v>119.29974097222221</v>
      </c>
      <c r="Q148" s="335">
        <f t="shared" si="15"/>
        <v>71.751087553716005</v>
      </c>
      <c r="R148" s="595">
        <v>146</v>
      </c>
    </row>
    <row r="149" spans="1:18">
      <c r="A149" s="607">
        <v>147</v>
      </c>
      <c r="B149" s="801"/>
      <c r="C149" s="598">
        <v>56</v>
      </c>
      <c r="D149" s="334">
        <v>42</v>
      </c>
      <c r="E149" s="335">
        <v>47.53</v>
      </c>
      <c r="F149" s="340" t="s">
        <v>327</v>
      </c>
      <c r="G149" s="334">
        <v>18</v>
      </c>
      <c r="H149" s="335">
        <v>21.45</v>
      </c>
      <c r="I149" s="335">
        <v>58.67</v>
      </c>
      <c r="J149" s="335">
        <v>86.05</v>
      </c>
      <c r="K149" s="335">
        <v>38.520000000000003</v>
      </c>
      <c r="L149" s="337">
        <v>29.34</v>
      </c>
      <c r="M149" s="338" t="s">
        <v>275</v>
      </c>
      <c r="N149" s="335">
        <f t="shared" si="12"/>
        <v>50.944688244158108</v>
      </c>
      <c r="O149" s="335">
        <f t="shared" si="13"/>
        <v>65.787717287070024</v>
      </c>
      <c r="P149" s="335">
        <f t="shared" si="14"/>
        <v>122.70789756944443</v>
      </c>
      <c r="Q149" s="335">
        <f t="shared" si="15"/>
        <v>73.712760357107868</v>
      </c>
      <c r="R149" s="595">
        <v>147</v>
      </c>
    </row>
    <row r="150" spans="1:18">
      <c r="A150" s="607">
        <v>148</v>
      </c>
      <c r="B150" s="801"/>
      <c r="C150" s="598">
        <v>57</v>
      </c>
      <c r="D150" s="334">
        <v>42</v>
      </c>
      <c r="E150" s="335">
        <v>47.53</v>
      </c>
      <c r="F150" s="340" t="s">
        <v>653</v>
      </c>
      <c r="G150" s="334">
        <v>24</v>
      </c>
      <c r="H150" s="335">
        <v>28.2</v>
      </c>
      <c r="I150" s="335">
        <v>58.67</v>
      </c>
      <c r="J150" s="335">
        <v>86</v>
      </c>
      <c r="K150" s="335">
        <v>38.47</v>
      </c>
      <c r="L150" s="337">
        <v>29.34</v>
      </c>
      <c r="M150" s="338" t="s">
        <v>275</v>
      </c>
      <c r="N150" s="335">
        <f t="shared" si="12"/>
        <v>53.969125671707786</v>
      </c>
      <c r="O150" s="335">
        <f t="shared" si="13"/>
        <v>69.809285178207418</v>
      </c>
      <c r="P150" s="335">
        <f t="shared" si="14"/>
        <v>122.63659722222221</v>
      </c>
      <c r="Q150" s="335">
        <f t="shared" si="15"/>
        <v>75.100050489313702</v>
      </c>
      <c r="R150" s="595">
        <v>148</v>
      </c>
    </row>
    <row r="151" spans="1:18">
      <c r="A151" s="607">
        <v>149</v>
      </c>
      <c r="B151" s="801"/>
      <c r="C151" s="598">
        <v>58</v>
      </c>
      <c r="D151" s="334">
        <v>48</v>
      </c>
      <c r="E151" s="335">
        <v>54.48</v>
      </c>
      <c r="F151" s="336" t="s">
        <v>328</v>
      </c>
      <c r="G151" s="334">
        <v>4</v>
      </c>
      <c r="H151" s="335">
        <v>4.75</v>
      </c>
      <c r="I151" s="335">
        <v>58.67</v>
      </c>
      <c r="J151" s="335">
        <v>90.46</v>
      </c>
      <c r="K151" s="335">
        <v>35.979999999999997</v>
      </c>
      <c r="L151" s="337">
        <v>29.34</v>
      </c>
      <c r="M151" s="338" t="s">
        <v>275</v>
      </c>
      <c r="N151" s="335">
        <f t="shared" si="12"/>
        <v>61.613467809799495</v>
      </c>
      <c r="O151" s="335">
        <f t="shared" si="13"/>
        <v>79.393272852833206</v>
      </c>
      <c r="P151" s="335">
        <f t="shared" si="14"/>
        <v>128.99658819444443</v>
      </c>
      <c r="Q151" s="335">
        <f t="shared" si="15"/>
        <v>81.454793946443985</v>
      </c>
      <c r="R151" s="595">
        <v>149</v>
      </c>
    </row>
    <row r="152" spans="1:18">
      <c r="A152" s="607">
        <v>150</v>
      </c>
      <c r="B152" s="801"/>
      <c r="C152" s="598">
        <v>59</v>
      </c>
      <c r="D152" s="334">
        <v>48</v>
      </c>
      <c r="E152" s="335">
        <v>54.48</v>
      </c>
      <c r="F152" s="336" t="s">
        <v>329</v>
      </c>
      <c r="G152" s="334">
        <v>6</v>
      </c>
      <c r="H152" s="335">
        <v>7.05</v>
      </c>
      <c r="I152" s="335">
        <v>58.67</v>
      </c>
      <c r="J152" s="335">
        <v>91.1</v>
      </c>
      <c r="K152" s="335">
        <v>36.619999999999997</v>
      </c>
      <c r="L152" s="337">
        <v>29.34</v>
      </c>
      <c r="M152" s="338" t="s">
        <v>275</v>
      </c>
      <c r="N152" s="335">
        <f t="shared" si="12"/>
        <v>61.841924136680333</v>
      </c>
      <c r="O152" s="335">
        <f t="shared" si="13"/>
        <v>79.703535488831989</v>
      </c>
      <c r="P152" s="335">
        <f t="shared" si="14"/>
        <v>129.90923263888888</v>
      </c>
      <c r="Q152" s="335">
        <f t="shared" si="15"/>
        <v>81.924202996703087</v>
      </c>
      <c r="R152" s="595">
        <v>150</v>
      </c>
    </row>
    <row r="153" spans="1:18">
      <c r="A153" s="607">
        <v>151</v>
      </c>
      <c r="B153" s="801"/>
      <c r="C153" s="598">
        <v>60</v>
      </c>
      <c r="D153" s="334">
        <v>48</v>
      </c>
      <c r="E153" s="335">
        <v>54.48</v>
      </c>
      <c r="F153" s="336" t="s">
        <v>330</v>
      </c>
      <c r="G153" s="334">
        <v>8</v>
      </c>
      <c r="H153" s="335">
        <v>9.4</v>
      </c>
      <c r="I153" s="335">
        <v>58.67</v>
      </c>
      <c r="J153" s="335">
        <v>91.4</v>
      </c>
      <c r="K153" s="335">
        <v>36.92</v>
      </c>
      <c r="L153" s="337">
        <v>29.34</v>
      </c>
      <c r="M153" s="338" t="s">
        <v>275</v>
      </c>
      <c r="N153" s="335">
        <f t="shared" si="12"/>
        <v>62.163973744699369</v>
      </c>
      <c r="O153" s="335">
        <f t="shared" si="13"/>
        <v>80.148165228903267</v>
      </c>
      <c r="P153" s="335">
        <f t="shared" si="14"/>
        <v>130.33703472222223</v>
      </c>
      <c r="Q153" s="335">
        <f t="shared" si="15"/>
        <v>82.239521542026949</v>
      </c>
      <c r="R153" s="595">
        <v>151</v>
      </c>
    </row>
    <row r="154" spans="1:18">
      <c r="A154" s="607">
        <v>152</v>
      </c>
      <c r="B154" s="801"/>
      <c r="C154" s="598">
        <v>61</v>
      </c>
      <c r="D154" s="334">
        <v>48</v>
      </c>
      <c r="E154" s="335">
        <v>54.48</v>
      </c>
      <c r="F154" s="336" t="s">
        <v>331</v>
      </c>
      <c r="G154" s="334">
        <v>10</v>
      </c>
      <c r="H154" s="335">
        <v>12</v>
      </c>
      <c r="I154" s="335">
        <v>58.67</v>
      </c>
      <c r="J154" s="335">
        <v>91.4</v>
      </c>
      <c r="K154" s="335">
        <v>36.92</v>
      </c>
      <c r="L154" s="337">
        <v>29.34</v>
      </c>
      <c r="M154" s="338" t="s">
        <v>275</v>
      </c>
      <c r="N154" s="335">
        <f t="shared" si="12"/>
        <v>62.571726291196548</v>
      </c>
      <c r="O154" s="335">
        <f t="shared" si="13"/>
        <v>80.778369442433899</v>
      </c>
      <c r="P154" s="335">
        <f t="shared" si="14"/>
        <v>130.33703472222223</v>
      </c>
      <c r="Q154" s="335">
        <f t="shared" si="15"/>
        <v>82.395192403111878</v>
      </c>
      <c r="R154" s="595">
        <v>152</v>
      </c>
    </row>
    <row r="155" spans="1:18">
      <c r="A155" s="607">
        <v>153</v>
      </c>
      <c r="B155" s="801"/>
      <c r="C155" s="598">
        <v>62</v>
      </c>
      <c r="D155" s="334">
        <v>48</v>
      </c>
      <c r="E155" s="335">
        <v>54.48</v>
      </c>
      <c r="F155" s="336" t="s">
        <v>332</v>
      </c>
      <c r="G155" s="334">
        <v>12</v>
      </c>
      <c r="H155" s="335">
        <v>14.58</v>
      </c>
      <c r="I155" s="335">
        <v>58.67</v>
      </c>
      <c r="J155" s="335">
        <v>91.86</v>
      </c>
      <c r="K155" s="335">
        <v>37.380000000000003</v>
      </c>
      <c r="L155" s="337">
        <v>29.34</v>
      </c>
      <c r="M155" s="338" t="s">
        <v>275</v>
      </c>
      <c r="N155" s="335">
        <f t="shared" si="12"/>
        <v>63.100197444289996</v>
      </c>
      <c r="O155" s="335">
        <f t="shared" si="13"/>
        <v>81.599541870400557</v>
      </c>
      <c r="P155" s="335">
        <f t="shared" si="14"/>
        <v>130.99299791666667</v>
      </c>
      <c r="Q155" s="335">
        <f t="shared" si="15"/>
        <v>82.857579862796442</v>
      </c>
      <c r="R155" s="595">
        <v>153</v>
      </c>
    </row>
    <row r="156" spans="1:18">
      <c r="A156" s="607">
        <v>154</v>
      </c>
      <c r="B156" s="801"/>
      <c r="C156" s="598">
        <v>63</v>
      </c>
      <c r="D156" s="334">
        <v>48</v>
      </c>
      <c r="E156" s="335">
        <v>54.48</v>
      </c>
      <c r="F156" s="340" t="s">
        <v>333</v>
      </c>
      <c r="G156" s="334">
        <v>15</v>
      </c>
      <c r="H156" s="335">
        <v>17.73</v>
      </c>
      <c r="I156" s="335">
        <v>58.67</v>
      </c>
      <c r="J156" s="335">
        <v>90.61</v>
      </c>
      <c r="K156" s="335">
        <v>36.130000000000003</v>
      </c>
      <c r="L156" s="337">
        <v>29.34</v>
      </c>
      <c r="M156" s="338" t="s">
        <v>275</v>
      </c>
      <c r="N156" s="335">
        <f t="shared" si="12"/>
        <v>63.906744089483091</v>
      </c>
      <c r="O156" s="335">
        <f t="shared" si="13"/>
        <v>82.594991520559375</v>
      </c>
      <c r="P156" s="335">
        <f t="shared" si="14"/>
        <v>129.2104892361111</v>
      </c>
      <c r="Q156" s="335">
        <f t="shared" si="15"/>
        <v>82.552943175703774</v>
      </c>
      <c r="R156" s="595">
        <v>154</v>
      </c>
    </row>
    <row r="157" spans="1:18">
      <c r="A157" s="607">
        <v>155</v>
      </c>
      <c r="B157" s="801"/>
      <c r="C157" s="598">
        <v>64</v>
      </c>
      <c r="D157" s="334">
        <v>48</v>
      </c>
      <c r="E157" s="335">
        <v>54.48</v>
      </c>
      <c r="F157" s="340" t="s">
        <v>334</v>
      </c>
      <c r="G157" s="334">
        <v>18</v>
      </c>
      <c r="H157" s="335">
        <v>21.45</v>
      </c>
      <c r="I157" s="335">
        <v>58.67</v>
      </c>
      <c r="J157" s="335">
        <v>93</v>
      </c>
      <c r="K157" s="335">
        <v>38.520000000000003</v>
      </c>
      <c r="L157" s="337">
        <v>29.34</v>
      </c>
      <c r="M157" s="338" t="s">
        <v>275</v>
      </c>
      <c r="N157" s="335">
        <f t="shared" si="12"/>
        <v>65.34447269619821</v>
      </c>
      <c r="O157" s="335">
        <f t="shared" si="13"/>
        <v>84.693287626089713</v>
      </c>
      <c r="P157" s="335">
        <f t="shared" si="14"/>
        <v>132.61864583333332</v>
      </c>
      <c r="Q157" s="335">
        <f t="shared" si="15"/>
        <v>84.514615979095652</v>
      </c>
      <c r="R157" s="595">
        <v>155</v>
      </c>
    </row>
    <row r="158" spans="1:18">
      <c r="A158" s="607">
        <v>156</v>
      </c>
      <c r="B158" s="801"/>
      <c r="C158" s="598">
        <v>65</v>
      </c>
      <c r="D158" s="334">
        <v>48</v>
      </c>
      <c r="E158" s="335">
        <v>54.48</v>
      </c>
      <c r="F158" s="340" t="s">
        <v>654</v>
      </c>
      <c r="G158" s="334">
        <v>24</v>
      </c>
      <c r="H158" s="335">
        <v>28.2</v>
      </c>
      <c r="I158" s="335">
        <v>58.67</v>
      </c>
      <c r="J158" s="335">
        <v>92.95</v>
      </c>
      <c r="K158" s="335">
        <v>38.47</v>
      </c>
      <c r="L158" s="337">
        <v>29.34</v>
      </c>
      <c r="M158" s="338" t="s">
        <v>275</v>
      </c>
      <c r="N158" s="335">
        <f t="shared" ref="N158:N166" si="16">PI()*D158^2/4*I158/1728+PI()*G158^2/4*(K158-12)/1728</f>
        <v>68.368910123747881</v>
      </c>
      <c r="O158" s="335">
        <f t="shared" ref="O158:O166" si="17">PI()*E158^2/4*I158/1728+PI()*H158^2/4*(K158-12)/1728</f>
        <v>88.714855517227107</v>
      </c>
      <c r="P158" s="335">
        <f t="shared" ref="P158:P166" si="18">42*I158*J158/1728</f>
        <v>132.54734548611111</v>
      </c>
      <c r="Q158" s="335">
        <f t="shared" si="15"/>
        <v>85.901906111301486</v>
      </c>
      <c r="R158" s="595">
        <v>156</v>
      </c>
    </row>
    <row r="159" spans="1:18">
      <c r="A159" s="607">
        <v>157</v>
      </c>
      <c r="B159" s="801"/>
      <c r="C159" s="598">
        <v>66</v>
      </c>
      <c r="D159" s="334">
        <v>60</v>
      </c>
      <c r="E159" s="335">
        <v>66.849999999999994</v>
      </c>
      <c r="F159" s="336" t="s">
        <v>335</v>
      </c>
      <c r="G159" s="334">
        <v>4</v>
      </c>
      <c r="H159" s="335">
        <v>4.75</v>
      </c>
      <c r="I159" s="335">
        <v>60</v>
      </c>
      <c r="J159" s="335">
        <v>102.83</v>
      </c>
      <c r="K159" s="335">
        <v>35.979999999999997</v>
      </c>
      <c r="L159" s="337">
        <v>30</v>
      </c>
      <c r="M159" s="338" t="s">
        <v>275</v>
      </c>
      <c r="N159" s="335">
        <f t="shared" si="16"/>
        <v>98.349157905776124</v>
      </c>
      <c r="O159" s="335">
        <f t="shared" si="17"/>
        <v>122.11686928616346</v>
      </c>
      <c r="P159" s="335">
        <f t="shared" si="18"/>
        <v>149.96041666666667</v>
      </c>
      <c r="Q159" s="335">
        <f t="shared" ref="Q159:Q222" si="19">0.4*(P159-O159)+N159</f>
        <v>109.48657685797741</v>
      </c>
      <c r="R159" s="595">
        <v>157</v>
      </c>
    </row>
    <row r="160" spans="1:18">
      <c r="A160" s="607">
        <v>158</v>
      </c>
      <c r="B160" s="801"/>
      <c r="C160" s="598">
        <v>67</v>
      </c>
      <c r="D160" s="334">
        <v>60</v>
      </c>
      <c r="E160" s="335">
        <v>66.849999999999994</v>
      </c>
      <c r="F160" s="336" t="s">
        <v>336</v>
      </c>
      <c r="G160" s="334">
        <v>6</v>
      </c>
      <c r="H160" s="335">
        <v>7.05</v>
      </c>
      <c r="I160" s="335">
        <v>60</v>
      </c>
      <c r="J160" s="335">
        <v>103.47</v>
      </c>
      <c r="K160" s="335">
        <v>36.619999999999997</v>
      </c>
      <c r="L160" s="337">
        <v>30</v>
      </c>
      <c r="M160" s="338" t="s">
        <v>275</v>
      </c>
      <c r="N160" s="335">
        <f t="shared" si="16"/>
        <v>98.57761423265697</v>
      </c>
      <c r="O160" s="335">
        <f t="shared" si="17"/>
        <v>122.42713192216225</v>
      </c>
      <c r="P160" s="335">
        <f t="shared" si="18"/>
        <v>150.89374999999998</v>
      </c>
      <c r="Q160" s="335">
        <f t="shared" si="19"/>
        <v>109.96426146379207</v>
      </c>
      <c r="R160" s="595">
        <v>158</v>
      </c>
    </row>
    <row r="161" spans="1:18">
      <c r="A161" s="607">
        <v>159</v>
      </c>
      <c r="B161" s="801"/>
      <c r="C161" s="598">
        <v>68</v>
      </c>
      <c r="D161" s="334">
        <v>60</v>
      </c>
      <c r="E161" s="335">
        <v>66.849999999999994</v>
      </c>
      <c r="F161" s="336" t="s">
        <v>337</v>
      </c>
      <c r="G161" s="334">
        <v>8</v>
      </c>
      <c r="H161" s="335">
        <v>9.4</v>
      </c>
      <c r="I161" s="335">
        <v>60</v>
      </c>
      <c r="J161" s="335">
        <v>103.77</v>
      </c>
      <c r="K161" s="335">
        <v>36.92</v>
      </c>
      <c r="L161" s="337">
        <v>30</v>
      </c>
      <c r="M161" s="338" t="s">
        <v>275</v>
      </c>
      <c r="N161" s="335">
        <f t="shared" si="16"/>
        <v>98.899663840676013</v>
      </c>
      <c r="O161" s="335">
        <f t="shared" si="17"/>
        <v>122.87176166223352</v>
      </c>
      <c r="P161" s="335">
        <f t="shared" si="18"/>
        <v>151.33124999999998</v>
      </c>
      <c r="Q161" s="335">
        <f t="shared" si="19"/>
        <v>110.2834591757826</v>
      </c>
      <c r="R161" s="595">
        <v>159</v>
      </c>
    </row>
    <row r="162" spans="1:18">
      <c r="A162" s="607">
        <v>160</v>
      </c>
      <c r="B162" s="801"/>
      <c r="C162" s="598">
        <v>69</v>
      </c>
      <c r="D162" s="334">
        <v>60</v>
      </c>
      <c r="E162" s="335">
        <v>66.849999999999994</v>
      </c>
      <c r="F162" s="336" t="s">
        <v>338</v>
      </c>
      <c r="G162" s="334">
        <v>10</v>
      </c>
      <c r="H162" s="335">
        <v>12</v>
      </c>
      <c r="I162" s="335">
        <v>60</v>
      </c>
      <c r="J162" s="335">
        <v>103.77</v>
      </c>
      <c r="K162" s="335">
        <v>36.92</v>
      </c>
      <c r="L162" s="337">
        <v>30</v>
      </c>
      <c r="M162" s="338" t="s">
        <v>275</v>
      </c>
      <c r="N162" s="335">
        <f t="shared" si="16"/>
        <v>99.307416387173177</v>
      </c>
      <c r="O162" s="335">
        <f t="shared" si="17"/>
        <v>123.50196587576416</v>
      </c>
      <c r="P162" s="335">
        <f t="shared" si="18"/>
        <v>151.33124999999998</v>
      </c>
      <c r="Q162" s="335">
        <f t="shared" si="19"/>
        <v>110.43913003686751</v>
      </c>
      <c r="R162" s="595">
        <v>160</v>
      </c>
    </row>
    <row r="163" spans="1:18">
      <c r="A163" s="607">
        <v>161</v>
      </c>
      <c r="B163" s="801"/>
      <c r="C163" s="598">
        <v>70</v>
      </c>
      <c r="D163" s="334">
        <v>60</v>
      </c>
      <c r="E163" s="335">
        <v>66.849999999999994</v>
      </c>
      <c r="F163" s="336" t="s">
        <v>339</v>
      </c>
      <c r="G163" s="334">
        <v>12</v>
      </c>
      <c r="H163" s="335">
        <v>14.58</v>
      </c>
      <c r="I163" s="335">
        <v>60</v>
      </c>
      <c r="J163" s="335">
        <v>104.23</v>
      </c>
      <c r="K163" s="335">
        <v>37.380000000000003</v>
      </c>
      <c r="L163" s="337">
        <v>30</v>
      </c>
      <c r="M163" s="338" t="s">
        <v>275</v>
      </c>
      <c r="N163" s="335">
        <f t="shared" si="16"/>
        <v>99.835887540266626</v>
      </c>
      <c r="O163" s="335">
        <f t="shared" si="17"/>
        <v>124.32313830373081</v>
      </c>
      <c r="P163" s="335">
        <f t="shared" si="18"/>
        <v>152.00208333333336</v>
      </c>
      <c r="Q163" s="335">
        <f t="shared" si="19"/>
        <v>110.90746555210765</v>
      </c>
      <c r="R163" s="595">
        <v>161</v>
      </c>
    </row>
    <row r="164" spans="1:18">
      <c r="A164" s="607">
        <v>162</v>
      </c>
      <c r="B164" s="801"/>
      <c r="C164" s="598">
        <v>71</v>
      </c>
      <c r="D164" s="341">
        <v>60</v>
      </c>
      <c r="E164" s="342">
        <v>66.849999999999994</v>
      </c>
      <c r="F164" s="343" t="s">
        <v>340</v>
      </c>
      <c r="G164" s="341">
        <v>15</v>
      </c>
      <c r="H164" s="335">
        <v>17.73</v>
      </c>
      <c r="I164" s="342">
        <v>60</v>
      </c>
      <c r="J164" s="342">
        <v>102.98</v>
      </c>
      <c r="K164" s="342">
        <v>36.130000000000003</v>
      </c>
      <c r="L164" s="344">
        <v>30</v>
      </c>
      <c r="M164" s="338" t="s">
        <v>275</v>
      </c>
      <c r="N164" s="335">
        <f t="shared" si="16"/>
        <v>100.64243418545973</v>
      </c>
      <c r="O164" s="335">
        <f t="shared" si="17"/>
        <v>125.31858795388963</v>
      </c>
      <c r="P164" s="335">
        <f t="shared" si="18"/>
        <v>150.17916666666667</v>
      </c>
      <c r="Q164" s="335">
        <f t="shared" si="19"/>
        <v>110.58666567057055</v>
      </c>
      <c r="R164" s="595">
        <v>162</v>
      </c>
    </row>
    <row r="165" spans="1:18">
      <c r="A165" s="607">
        <v>163</v>
      </c>
      <c r="B165" s="801"/>
      <c r="C165" s="598">
        <v>72</v>
      </c>
      <c r="D165" s="334">
        <v>60</v>
      </c>
      <c r="E165" s="335">
        <v>66.849999999999994</v>
      </c>
      <c r="F165" s="340" t="s">
        <v>341</v>
      </c>
      <c r="G165" s="334">
        <v>18</v>
      </c>
      <c r="H165" s="335">
        <v>21.45</v>
      </c>
      <c r="I165" s="335">
        <v>60</v>
      </c>
      <c r="J165" s="335">
        <v>105.37</v>
      </c>
      <c r="K165" s="335">
        <v>38.520000000000003</v>
      </c>
      <c r="L165" s="337">
        <v>30</v>
      </c>
      <c r="M165" s="338" t="s">
        <v>275</v>
      </c>
      <c r="N165" s="335">
        <f t="shared" si="16"/>
        <v>102.08016279217485</v>
      </c>
      <c r="O165" s="335">
        <f t="shared" si="17"/>
        <v>127.41688405941997</v>
      </c>
      <c r="P165" s="335">
        <f t="shared" si="18"/>
        <v>153.66458333333335</v>
      </c>
      <c r="Q165" s="335">
        <f t="shared" si="19"/>
        <v>112.5792425017402</v>
      </c>
      <c r="R165" s="595">
        <v>163</v>
      </c>
    </row>
    <row r="166" spans="1:18" ht="15.75" thickBot="1">
      <c r="A166" s="607">
        <v>164</v>
      </c>
      <c r="B166" s="817"/>
      <c r="C166" s="599">
        <v>73</v>
      </c>
      <c r="D166" s="346">
        <v>60</v>
      </c>
      <c r="E166" s="347">
        <v>66.849999999999994</v>
      </c>
      <c r="F166" s="348" t="s">
        <v>655</v>
      </c>
      <c r="G166" s="346">
        <v>24</v>
      </c>
      <c r="H166" s="347">
        <v>28.2</v>
      </c>
      <c r="I166" s="347">
        <v>60</v>
      </c>
      <c r="J166" s="347">
        <v>105.32</v>
      </c>
      <c r="K166" s="347">
        <v>38.47</v>
      </c>
      <c r="L166" s="349">
        <v>30</v>
      </c>
      <c r="M166" s="350" t="s">
        <v>275</v>
      </c>
      <c r="N166" s="335">
        <f t="shared" si="16"/>
        <v>105.10460021972452</v>
      </c>
      <c r="O166" s="335">
        <f t="shared" si="17"/>
        <v>131.43845195055738</v>
      </c>
      <c r="P166" s="335">
        <f t="shared" si="18"/>
        <v>153.59166666666664</v>
      </c>
      <c r="Q166" s="335">
        <f t="shared" si="19"/>
        <v>113.96588610616823</v>
      </c>
      <c r="R166" s="595">
        <v>164</v>
      </c>
    </row>
    <row r="167" spans="1:18" ht="15.75" thickTop="1">
      <c r="A167" s="607">
        <v>165</v>
      </c>
      <c r="B167" s="798" t="s">
        <v>342</v>
      </c>
      <c r="C167" s="361">
        <v>1</v>
      </c>
      <c r="D167" s="351">
        <v>8</v>
      </c>
      <c r="E167" s="352">
        <v>9.4</v>
      </c>
      <c r="F167" s="353" t="s">
        <v>343</v>
      </c>
      <c r="G167" s="351">
        <v>4</v>
      </c>
      <c r="H167" s="352">
        <v>4.75</v>
      </c>
      <c r="I167" s="352">
        <v>113.68</v>
      </c>
      <c r="J167" s="352">
        <v>45.38</v>
      </c>
      <c r="K167" s="352">
        <v>35.979999999999997</v>
      </c>
      <c r="L167" s="354">
        <v>28.42</v>
      </c>
      <c r="M167" s="352">
        <v>56.84</v>
      </c>
      <c r="N167" s="352">
        <f>PI()*D167^2/4*I167/1728+2*PI()*G167^2/4*(K167-12)/1728</f>
        <v>3.6555921183021236</v>
      </c>
      <c r="O167" s="352">
        <f>PI()*E167^2/4*I167/1728+2*PI()*H167^2/4*(K167-12)/1728</f>
        <v>5.0573016289330486</v>
      </c>
      <c r="P167" s="352">
        <f>42*I167*J167/1728</f>
        <v>125.38746111111114</v>
      </c>
      <c r="Q167" s="352">
        <f t="shared" si="19"/>
        <v>51.78765591117336</v>
      </c>
      <c r="R167" s="595">
        <v>165</v>
      </c>
    </row>
    <row r="168" spans="1:18">
      <c r="A168" s="607">
        <v>166</v>
      </c>
      <c r="B168" s="799"/>
      <c r="C168" s="333">
        <v>2</v>
      </c>
      <c r="D168" s="334">
        <v>8</v>
      </c>
      <c r="E168" s="335">
        <v>9.4</v>
      </c>
      <c r="F168" s="355" t="s">
        <v>344</v>
      </c>
      <c r="G168" s="334">
        <v>6</v>
      </c>
      <c r="H168" s="335">
        <v>7.05</v>
      </c>
      <c r="I168" s="335">
        <v>113.68</v>
      </c>
      <c r="J168" s="335">
        <v>46.02</v>
      </c>
      <c r="K168" s="335">
        <v>36.619999999999997</v>
      </c>
      <c r="L168" s="356">
        <v>28.42</v>
      </c>
      <c r="M168" s="335">
        <v>56.84</v>
      </c>
      <c r="N168" s="335">
        <f t="shared" ref="N168:N231" si="20">PI()*D168^2/4*I168/1728+2*PI()*G168^2/4*(K168-12)/1728</f>
        <v>4.1125047720638062</v>
      </c>
      <c r="O168" s="335">
        <f t="shared" ref="O168:O231" si="21">PI()*E168^2/4*I168/1728+2*PI()*H168^2/4*(K168-12)/1728</f>
        <v>5.6778269009305919</v>
      </c>
      <c r="P168" s="335">
        <f t="shared" ref="P168:P231" si="22">42*I168*J168/1728</f>
        <v>127.15581666666668</v>
      </c>
      <c r="Q168" s="335">
        <f t="shared" si="19"/>
        <v>52.703700678358246</v>
      </c>
      <c r="R168" s="595">
        <v>166</v>
      </c>
    </row>
    <row r="169" spans="1:18">
      <c r="A169" s="607">
        <v>167</v>
      </c>
      <c r="B169" s="799"/>
      <c r="C169" s="333">
        <v>3</v>
      </c>
      <c r="D169" s="334">
        <v>8</v>
      </c>
      <c r="E169" s="335">
        <v>9.4</v>
      </c>
      <c r="F169" s="355" t="s">
        <v>345</v>
      </c>
      <c r="G169" s="334">
        <v>8</v>
      </c>
      <c r="H169" s="335">
        <v>9.4</v>
      </c>
      <c r="I169" s="335">
        <v>113.68</v>
      </c>
      <c r="J169" s="335">
        <v>46.32</v>
      </c>
      <c r="K169" s="335">
        <v>36.92</v>
      </c>
      <c r="L169" s="356">
        <v>28.42</v>
      </c>
      <c r="M169" s="335">
        <v>56.84</v>
      </c>
      <c r="N169" s="335">
        <f t="shared" si="20"/>
        <v>4.7566039881018796</v>
      </c>
      <c r="O169" s="335">
        <f t="shared" si="21"/>
        <v>6.5670863810731586</v>
      </c>
      <c r="P169" s="335">
        <f t="shared" si="22"/>
        <v>127.98473333333334</v>
      </c>
      <c r="Q169" s="335">
        <f t="shared" si="19"/>
        <v>53.323662769005956</v>
      </c>
      <c r="R169" s="595">
        <v>167</v>
      </c>
    </row>
    <row r="170" spans="1:18">
      <c r="A170" s="607">
        <v>168</v>
      </c>
      <c r="B170" s="799"/>
      <c r="C170" s="333">
        <v>4</v>
      </c>
      <c r="D170" s="334">
        <v>10</v>
      </c>
      <c r="E170" s="335">
        <v>12</v>
      </c>
      <c r="F170" s="355" t="s">
        <v>346</v>
      </c>
      <c r="G170" s="334">
        <v>4</v>
      </c>
      <c r="H170" s="335">
        <v>4.75</v>
      </c>
      <c r="I170" s="335">
        <v>113.85</v>
      </c>
      <c r="J170" s="335">
        <v>47.98</v>
      </c>
      <c r="K170" s="335">
        <v>35.979999999999997</v>
      </c>
      <c r="L170" s="356">
        <v>28.47</v>
      </c>
      <c r="M170" s="335">
        <v>56.93</v>
      </c>
      <c r="N170" s="335">
        <f t="shared" si="20"/>
        <v>5.523403486657763</v>
      </c>
      <c r="O170" s="335">
        <f t="shared" si="21"/>
        <v>7.9432922680093148</v>
      </c>
      <c r="P170" s="335">
        <f t="shared" si="22"/>
        <v>132.76965625</v>
      </c>
      <c r="Q170" s="335">
        <f t="shared" si="19"/>
        <v>55.453949079454041</v>
      </c>
      <c r="R170" s="595">
        <v>168</v>
      </c>
    </row>
    <row r="171" spans="1:18">
      <c r="A171" s="607">
        <v>169</v>
      </c>
      <c r="B171" s="799"/>
      <c r="C171" s="333">
        <v>5</v>
      </c>
      <c r="D171" s="339">
        <v>10</v>
      </c>
      <c r="E171" s="335">
        <v>12</v>
      </c>
      <c r="F171" s="355" t="s">
        <v>347</v>
      </c>
      <c r="G171" s="334">
        <v>6</v>
      </c>
      <c r="H171" s="335">
        <v>7.05</v>
      </c>
      <c r="I171" s="335">
        <v>113.85</v>
      </c>
      <c r="J171" s="335">
        <v>48.62</v>
      </c>
      <c r="K171" s="335">
        <v>36.619999999999997</v>
      </c>
      <c r="L171" s="356">
        <v>28.47</v>
      </c>
      <c r="M171" s="335">
        <v>56.93</v>
      </c>
      <c r="N171" s="335">
        <f t="shared" si="20"/>
        <v>5.9803161404194451</v>
      </c>
      <c r="O171" s="335">
        <f t="shared" si="21"/>
        <v>8.5638175400068572</v>
      </c>
      <c r="P171" s="335">
        <f t="shared" si="22"/>
        <v>134.54065624999998</v>
      </c>
      <c r="Q171" s="335">
        <f t="shared" si="19"/>
        <v>56.371051624416701</v>
      </c>
      <c r="R171" s="595">
        <v>169</v>
      </c>
    </row>
    <row r="172" spans="1:18">
      <c r="A172" s="607">
        <v>170</v>
      </c>
      <c r="B172" s="799"/>
      <c r="C172" s="333">
        <v>6</v>
      </c>
      <c r="D172" s="334">
        <v>10</v>
      </c>
      <c r="E172" s="335">
        <v>12</v>
      </c>
      <c r="F172" s="355" t="s">
        <v>348</v>
      </c>
      <c r="G172" s="334">
        <v>8</v>
      </c>
      <c r="H172" s="335">
        <v>9.4</v>
      </c>
      <c r="I172" s="335">
        <v>113.85</v>
      </c>
      <c r="J172" s="335">
        <v>48.92</v>
      </c>
      <c r="K172" s="335">
        <v>36.92</v>
      </c>
      <c r="L172" s="356">
        <v>28.47</v>
      </c>
      <c r="M172" s="335">
        <v>56.93</v>
      </c>
      <c r="N172" s="335">
        <f t="shared" si="20"/>
        <v>6.6244153564575194</v>
      </c>
      <c r="O172" s="335">
        <f t="shared" si="21"/>
        <v>9.4530770201494239</v>
      </c>
      <c r="P172" s="335">
        <f t="shared" si="22"/>
        <v>135.3708125</v>
      </c>
      <c r="Q172" s="335">
        <f t="shared" si="19"/>
        <v>56.991509548397751</v>
      </c>
      <c r="R172" s="595">
        <v>170</v>
      </c>
    </row>
    <row r="173" spans="1:18">
      <c r="A173" s="607">
        <v>171</v>
      </c>
      <c r="B173" s="799"/>
      <c r="C173" s="333">
        <v>7</v>
      </c>
      <c r="D173" s="334">
        <v>10</v>
      </c>
      <c r="E173" s="335">
        <v>12</v>
      </c>
      <c r="F173" s="355" t="s">
        <v>349</v>
      </c>
      <c r="G173" s="334">
        <v>10</v>
      </c>
      <c r="H173" s="335">
        <v>12</v>
      </c>
      <c r="I173" s="335">
        <v>113.85</v>
      </c>
      <c r="J173" s="335">
        <v>48.92</v>
      </c>
      <c r="K173" s="335">
        <v>36.92</v>
      </c>
      <c r="L173" s="356">
        <v>28.47</v>
      </c>
      <c r="M173" s="335">
        <v>56.93</v>
      </c>
      <c r="N173" s="335">
        <f t="shared" si="20"/>
        <v>7.4399204494518703</v>
      </c>
      <c r="O173" s="335">
        <f t="shared" si="21"/>
        <v>10.713485447210694</v>
      </c>
      <c r="P173" s="335">
        <f t="shared" si="22"/>
        <v>135.3708125</v>
      </c>
      <c r="Q173" s="335">
        <f t="shared" si="19"/>
        <v>57.302851270567594</v>
      </c>
      <c r="R173" s="595">
        <v>171</v>
      </c>
    </row>
    <row r="174" spans="1:18">
      <c r="A174" s="607">
        <v>172</v>
      </c>
      <c r="B174" s="799"/>
      <c r="C174" s="333">
        <v>8</v>
      </c>
      <c r="D174" s="334">
        <v>12</v>
      </c>
      <c r="E174" s="335">
        <v>14.58</v>
      </c>
      <c r="F174" s="355" t="s">
        <v>350</v>
      </c>
      <c r="G174" s="334">
        <v>4</v>
      </c>
      <c r="H174" s="335">
        <v>4.75</v>
      </c>
      <c r="I174" s="335">
        <v>114.1</v>
      </c>
      <c r="J174" s="335">
        <v>50.56</v>
      </c>
      <c r="K174" s="335">
        <v>35.979999999999997</v>
      </c>
      <c r="L174" s="356">
        <v>28.53</v>
      </c>
      <c r="M174" s="335">
        <v>57.05</v>
      </c>
      <c r="N174" s="335">
        <f t="shared" si="20"/>
        <v>7.8166024991609371</v>
      </c>
      <c r="O174" s="335">
        <f t="shared" si="21"/>
        <v>11.516020898540653</v>
      </c>
      <c r="P174" s="335">
        <f t="shared" si="22"/>
        <v>140.21622222222223</v>
      </c>
      <c r="Q174" s="335">
        <f t="shared" si="19"/>
        <v>59.296683028633566</v>
      </c>
      <c r="R174" s="595">
        <v>172</v>
      </c>
    </row>
    <row r="175" spans="1:18">
      <c r="A175" s="607">
        <v>173</v>
      </c>
      <c r="B175" s="799"/>
      <c r="C175" s="333">
        <v>9</v>
      </c>
      <c r="D175" s="334">
        <v>12</v>
      </c>
      <c r="E175" s="335">
        <v>14.58</v>
      </c>
      <c r="F175" s="355" t="s">
        <v>351</v>
      </c>
      <c r="G175" s="334">
        <v>6</v>
      </c>
      <c r="H175" s="335">
        <v>7.05</v>
      </c>
      <c r="I175" s="335">
        <v>114.1</v>
      </c>
      <c r="J175" s="335">
        <v>51.2</v>
      </c>
      <c r="K175" s="335">
        <v>36.619999999999997</v>
      </c>
      <c r="L175" s="356">
        <v>28.53</v>
      </c>
      <c r="M175" s="335">
        <v>57.05</v>
      </c>
      <c r="N175" s="335">
        <f t="shared" si="20"/>
        <v>8.2735151529226201</v>
      </c>
      <c r="O175" s="335">
        <f t="shared" si="21"/>
        <v>12.136546170538194</v>
      </c>
      <c r="P175" s="335">
        <f t="shared" si="22"/>
        <v>141.99111111111111</v>
      </c>
      <c r="Q175" s="335">
        <f t="shared" si="19"/>
        <v>60.215341129151788</v>
      </c>
      <c r="R175" s="595">
        <v>173</v>
      </c>
    </row>
    <row r="176" spans="1:18">
      <c r="A176" s="607">
        <v>174</v>
      </c>
      <c r="B176" s="799"/>
      <c r="C176" s="333">
        <v>10</v>
      </c>
      <c r="D176" s="334">
        <v>12</v>
      </c>
      <c r="E176" s="335">
        <v>14.58</v>
      </c>
      <c r="F176" s="355" t="s">
        <v>352</v>
      </c>
      <c r="G176" s="334">
        <v>8</v>
      </c>
      <c r="H176" s="335">
        <v>9.4</v>
      </c>
      <c r="I176" s="335">
        <v>114.1</v>
      </c>
      <c r="J176" s="335">
        <v>51.5</v>
      </c>
      <c r="K176" s="335">
        <v>36.92</v>
      </c>
      <c r="L176" s="356">
        <v>28.53</v>
      </c>
      <c r="M176" s="335">
        <v>57.05</v>
      </c>
      <c r="N176" s="335">
        <f t="shared" si="20"/>
        <v>8.9176143689606935</v>
      </c>
      <c r="O176" s="335">
        <f t="shared" si="21"/>
        <v>13.025805650680761</v>
      </c>
      <c r="P176" s="335">
        <f t="shared" si="22"/>
        <v>142.82309027777777</v>
      </c>
      <c r="Q176" s="335">
        <f t="shared" si="19"/>
        <v>60.836528219799497</v>
      </c>
      <c r="R176" s="595">
        <v>174</v>
      </c>
    </row>
    <row r="177" spans="1:18">
      <c r="A177" s="607">
        <v>175</v>
      </c>
      <c r="B177" s="799"/>
      <c r="C177" s="333">
        <v>11</v>
      </c>
      <c r="D177" s="334">
        <v>12</v>
      </c>
      <c r="E177" s="335">
        <v>14.58</v>
      </c>
      <c r="F177" s="355" t="s">
        <v>353</v>
      </c>
      <c r="G177" s="334">
        <v>10</v>
      </c>
      <c r="H177" s="335">
        <v>12</v>
      </c>
      <c r="I177" s="335">
        <v>114.1</v>
      </c>
      <c r="J177" s="335">
        <v>51.5</v>
      </c>
      <c r="K177" s="335">
        <v>36.92</v>
      </c>
      <c r="L177" s="356">
        <v>28.53</v>
      </c>
      <c r="M177" s="335">
        <v>57.05</v>
      </c>
      <c r="N177" s="335">
        <f t="shared" si="20"/>
        <v>9.7331194619550452</v>
      </c>
      <c r="O177" s="335">
        <f t="shared" si="21"/>
        <v>14.286214077742031</v>
      </c>
      <c r="P177" s="335">
        <f t="shared" si="22"/>
        <v>142.82309027777777</v>
      </c>
      <c r="Q177" s="335">
        <f t="shared" si="19"/>
        <v>61.147869941969347</v>
      </c>
      <c r="R177" s="595">
        <v>175</v>
      </c>
    </row>
    <row r="178" spans="1:18">
      <c r="A178" s="607">
        <v>176</v>
      </c>
      <c r="B178" s="799"/>
      <c r="C178" s="333">
        <v>12</v>
      </c>
      <c r="D178" s="334">
        <v>12</v>
      </c>
      <c r="E178" s="335">
        <v>14.58</v>
      </c>
      <c r="F178" s="355" t="s">
        <v>354</v>
      </c>
      <c r="G178" s="334">
        <v>12</v>
      </c>
      <c r="H178" s="335">
        <v>14.58</v>
      </c>
      <c r="I178" s="335">
        <v>114.1</v>
      </c>
      <c r="J178" s="335">
        <v>51.96</v>
      </c>
      <c r="K178" s="335">
        <v>37.380000000000003</v>
      </c>
      <c r="L178" s="356">
        <v>28.53</v>
      </c>
      <c r="M178" s="335">
        <v>57.05</v>
      </c>
      <c r="N178" s="335">
        <f t="shared" si="20"/>
        <v>10.790061768141943</v>
      </c>
      <c r="O178" s="335">
        <f t="shared" si="21"/>
        <v>15.928558933675344</v>
      </c>
      <c r="P178" s="335">
        <f t="shared" si="22"/>
        <v>144.09879166666667</v>
      </c>
      <c r="Q178" s="335">
        <f t="shared" si="19"/>
        <v>62.05815486133848</v>
      </c>
      <c r="R178" s="595">
        <v>176</v>
      </c>
    </row>
    <row r="179" spans="1:18">
      <c r="A179" s="607">
        <v>177</v>
      </c>
      <c r="B179" s="799"/>
      <c r="C179" s="333">
        <v>13</v>
      </c>
      <c r="D179" s="334">
        <v>15</v>
      </c>
      <c r="E179" s="335">
        <v>17.73</v>
      </c>
      <c r="F179" s="355" t="s">
        <v>355</v>
      </c>
      <c r="G179" s="334">
        <v>4</v>
      </c>
      <c r="H179" s="335">
        <v>4.75</v>
      </c>
      <c r="I179" s="335">
        <v>113.55</v>
      </c>
      <c r="J179" s="335">
        <v>53.71</v>
      </c>
      <c r="K179" s="335">
        <v>35.979999999999997</v>
      </c>
      <c r="L179" s="356">
        <v>28.39</v>
      </c>
      <c r="M179" s="335">
        <v>56.78</v>
      </c>
      <c r="N179" s="335">
        <f t="shared" si="20"/>
        <v>11.961009526484503</v>
      </c>
      <c r="O179" s="335">
        <f t="shared" si="21"/>
        <v>16.715558796181142</v>
      </c>
      <c r="P179" s="335">
        <f t="shared" si="22"/>
        <v>148.23400520833331</v>
      </c>
      <c r="Q179" s="335">
        <f t="shared" si="19"/>
        <v>64.568388091345383</v>
      </c>
      <c r="R179" s="595">
        <v>177</v>
      </c>
    </row>
    <row r="180" spans="1:18">
      <c r="A180" s="607">
        <v>178</v>
      </c>
      <c r="B180" s="799"/>
      <c r="C180" s="333">
        <v>14</v>
      </c>
      <c r="D180" s="334">
        <v>15</v>
      </c>
      <c r="E180" s="335">
        <v>17.73</v>
      </c>
      <c r="F180" s="355" t="s">
        <v>356</v>
      </c>
      <c r="G180" s="334">
        <v>6</v>
      </c>
      <c r="H180" s="335">
        <v>7.05</v>
      </c>
      <c r="I180" s="335">
        <v>113.55</v>
      </c>
      <c r="J180" s="335">
        <v>54.35</v>
      </c>
      <c r="K180" s="335">
        <v>36.619999999999997</v>
      </c>
      <c r="L180" s="356">
        <v>28.39</v>
      </c>
      <c r="M180" s="335">
        <v>56.78</v>
      </c>
      <c r="N180" s="335">
        <f t="shared" si="20"/>
        <v>12.417922180246185</v>
      </c>
      <c r="O180" s="335">
        <f t="shared" si="21"/>
        <v>17.336084068178685</v>
      </c>
      <c r="P180" s="335">
        <f t="shared" si="22"/>
        <v>150.00033854166665</v>
      </c>
      <c r="Q180" s="335">
        <f t="shared" si="19"/>
        <v>65.483623969641371</v>
      </c>
      <c r="R180" s="595">
        <v>178</v>
      </c>
    </row>
    <row r="181" spans="1:18">
      <c r="A181" s="607">
        <v>179</v>
      </c>
      <c r="B181" s="799"/>
      <c r="C181" s="333">
        <v>15</v>
      </c>
      <c r="D181" s="334">
        <v>15</v>
      </c>
      <c r="E181" s="335">
        <v>17.73</v>
      </c>
      <c r="F181" s="355" t="s">
        <v>357</v>
      </c>
      <c r="G181" s="334">
        <v>8</v>
      </c>
      <c r="H181" s="335">
        <v>9.4</v>
      </c>
      <c r="I181" s="335">
        <v>113.55</v>
      </c>
      <c r="J181" s="335">
        <v>54.65</v>
      </c>
      <c r="K181" s="335">
        <v>36.92</v>
      </c>
      <c r="L181" s="356">
        <v>28.39</v>
      </c>
      <c r="M181" s="335">
        <v>56.78</v>
      </c>
      <c r="N181" s="335">
        <f t="shared" si="20"/>
        <v>13.062021396284258</v>
      </c>
      <c r="O181" s="335">
        <f t="shared" si="21"/>
        <v>18.225343548321252</v>
      </c>
      <c r="P181" s="335">
        <f t="shared" si="22"/>
        <v>150.82830729166665</v>
      </c>
      <c r="Q181" s="335">
        <f t="shared" si="19"/>
        <v>66.103206893622414</v>
      </c>
      <c r="R181" s="595">
        <v>179</v>
      </c>
    </row>
    <row r="182" spans="1:18">
      <c r="A182" s="607">
        <v>180</v>
      </c>
      <c r="B182" s="799"/>
      <c r="C182" s="333">
        <v>16</v>
      </c>
      <c r="D182" s="334">
        <v>15</v>
      </c>
      <c r="E182" s="335">
        <v>17.73</v>
      </c>
      <c r="F182" s="355" t="s">
        <v>358</v>
      </c>
      <c r="G182" s="334">
        <v>10</v>
      </c>
      <c r="H182" s="335">
        <v>12</v>
      </c>
      <c r="I182" s="335">
        <v>113.55</v>
      </c>
      <c r="J182" s="335">
        <v>54.65</v>
      </c>
      <c r="K182" s="335">
        <v>36.92</v>
      </c>
      <c r="L182" s="356">
        <v>28.39</v>
      </c>
      <c r="M182" s="335">
        <v>56.78</v>
      </c>
      <c r="N182" s="335">
        <f t="shared" si="20"/>
        <v>13.87752648927861</v>
      </c>
      <c r="O182" s="335">
        <f t="shared" si="21"/>
        <v>19.48575197538252</v>
      </c>
      <c r="P182" s="335">
        <f t="shared" si="22"/>
        <v>150.82830729166665</v>
      </c>
      <c r="Q182" s="335">
        <f t="shared" si="19"/>
        <v>66.414548615792256</v>
      </c>
      <c r="R182" s="595">
        <v>180</v>
      </c>
    </row>
    <row r="183" spans="1:18">
      <c r="A183" s="607">
        <v>181</v>
      </c>
      <c r="B183" s="799"/>
      <c r="C183" s="333">
        <v>17</v>
      </c>
      <c r="D183" s="334">
        <v>15</v>
      </c>
      <c r="E183" s="335">
        <v>17.73</v>
      </c>
      <c r="F183" s="355" t="s">
        <v>359</v>
      </c>
      <c r="G183" s="334">
        <v>12</v>
      </c>
      <c r="H183" s="335">
        <v>14.58</v>
      </c>
      <c r="I183" s="335">
        <v>113.55</v>
      </c>
      <c r="J183" s="335">
        <v>55.11</v>
      </c>
      <c r="K183" s="335">
        <v>37.380000000000003</v>
      </c>
      <c r="L183" s="356">
        <v>28.39</v>
      </c>
      <c r="M183" s="335">
        <v>56.78</v>
      </c>
      <c r="N183" s="335">
        <f t="shared" si="20"/>
        <v>14.934468795465509</v>
      </c>
      <c r="O183" s="335">
        <f t="shared" si="21"/>
        <v>21.128096831315833</v>
      </c>
      <c r="P183" s="335">
        <f t="shared" si="22"/>
        <v>152.09785937499998</v>
      </c>
      <c r="Q183" s="335">
        <f t="shared" si="19"/>
        <v>67.322373812939162</v>
      </c>
      <c r="R183" s="595">
        <v>181</v>
      </c>
    </row>
    <row r="184" spans="1:18">
      <c r="A184" s="607">
        <v>182</v>
      </c>
      <c r="B184" s="799"/>
      <c r="C184" s="333">
        <v>18</v>
      </c>
      <c r="D184" s="334">
        <v>15</v>
      </c>
      <c r="E184" s="335">
        <v>17.73</v>
      </c>
      <c r="F184" s="355" t="s">
        <v>360</v>
      </c>
      <c r="G184" s="334">
        <v>15</v>
      </c>
      <c r="H184" s="335">
        <v>17.73</v>
      </c>
      <c r="I184" s="335">
        <v>113.55</v>
      </c>
      <c r="J184" s="335">
        <v>53.86</v>
      </c>
      <c r="K184" s="335">
        <v>36.130000000000003</v>
      </c>
      <c r="L184" s="356">
        <v>28.39</v>
      </c>
      <c r="M184" s="335">
        <v>56.78</v>
      </c>
      <c r="N184" s="335">
        <f t="shared" si="20"/>
        <v>16.547562085851705</v>
      </c>
      <c r="O184" s="335">
        <f t="shared" si="21"/>
        <v>23.118996131633484</v>
      </c>
      <c r="P184" s="335">
        <f t="shared" si="22"/>
        <v>148.64798958333333</v>
      </c>
      <c r="Q184" s="335">
        <f t="shared" si="19"/>
        <v>66.759159466531642</v>
      </c>
      <c r="R184" s="595">
        <v>182</v>
      </c>
    </row>
    <row r="185" spans="1:18">
      <c r="A185" s="607">
        <v>183</v>
      </c>
      <c r="B185" s="799"/>
      <c r="C185" s="333">
        <v>19</v>
      </c>
      <c r="D185" s="334">
        <v>18</v>
      </c>
      <c r="E185" s="335">
        <v>21.45</v>
      </c>
      <c r="F185" s="355" t="s">
        <v>361</v>
      </c>
      <c r="G185" s="334">
        <v>4</v>
      </c>
      <c r="H185" s="335">
        <v>4.75</v>
      </c>
      <c r="I185" s="335">
        <v>112.59</v>
      </c>
      <c r="J185" s="335">
        <v>57.43</v>
      </c>
      <c r="K185" s="335">
        <v>35.979999999999997</v>
      </c>
      <c r="L185" s="356">
        <v>28.15</v>
      </c>
      <c r="M185" s="335">
        <v>56.3</v>
      </c>
      <c r="N185" s="335">
        <f t="shared" si="20"/>
        <v>16.929021065362459</v>
      </c>
      <c r="O185" s="335">
        <f t="shared" si="21"/>
        <v>24.036928065260017</v>
      </c>
      <c r="P185" s="335">
        <f t="shared" si="22"/>
        <v>157.16078437499999</v>
      </c>
      <c r="Q185" s="335">
        <f t="shared" si="19"/>
        <v>70.178563589258459</v>
      </c>
      <c r="R185" s="595">
        <v>183</v>
      </c>
    </row>
    <row r="186" spans="1:18">
      <c r="A186" s="607">
        <v>184</v>
      </c>
      <c r="B186" s="799"/>
      <c r="C186" s="333">
        <v>20</v>
      </c>
      <c r="D186" s="334">
        <v>18</v>
      </c>
      <c r="E186" s="335">
        <v>21.45</v>
      </c>
      <c r="F186" s="355" t="s">
        <v>362</v>
      </c>
      <c r="G186" s="334">
        <v>6</v>
      </c>
      <c r="H186" s="335">
        <v>7.05</v>
      </c>
      <c r="I186" s="335">
        <v>112.59</v>
      </c>
      <c r="J186" s="335">
        <v>58.07</v>
      </c>
      <c r="K186" s="335">
        <v>36.619999999999997</v>
      </c>
      <c r="L186" s="356">
        <v>28.15</v>
      </c>
      <c r="M186" s="335">
        <v>56.3</v>
      </c>
      <c r="N186" s="335">
        <f t="shared" si="20"/>
        <v>17.385933719124139</v>
      </c>
      <c r="O186" s="335">
        <f t="shared" si="21"/>
        <v>24.657453337257561</v>
      </c>
      <c r="P186" s="335">
        <f t="shared" si="22"/>
        <v>158.91218437499998</v>
      </c>
      <c r="Q186" s="335">
        <f t="shared" si="19"/>
        <v>71.087826134221118</v>
      </c>
      <c r="R186" s="595">
        <v>184</v>
      </c>
    </row>
    <row r="187" spans="1:18">
      <c r="A187" s="607">
        <v>185</v>
      </c>
      <c r="B187" s="799"/>
      <c r="C187" s="333">
        <v>21</v>
      </c>
      <c r="D187" s="334">
        <v>18</v>
      </c>
      <c r="E187" s="335">
        <v>21.45</v>
      </c>
      <c r="F187" s="355" t="s">
        <v>363</v>
      </c>
      <c r="G187" s="334">
        <v>8</v>
      </c>
      <c r="H187" s="335">
        <v>9.4</v>
      </c>
      <c r="I187" s="335">
        <v>112.59</v>
      </c>
      <c r="J187" s="335">
        <v>58.37</v>
      </c>
      <c r="K187" s="335">
        <v>36.92</v>
      </c>
      <c r="L187" s="356">
        <v>28.15</v>
      </c>
      <c r="M187" s="335">
        <v>56.3</v>
      </c>
      <c r="N187" s="335">
        <f t="shared" si="20"/>
        <v>18.030032935162215</v>
      </c>
      <c r="O187" s="335">
        <f t="shared" si="21"/>
        <v>25.546712817400127</v>
      </c>
      <c r="P187" s="335">
        <f t="shared" si="22"/>
        <v>159.73315312499997</v>
      </c>
      <c r="Q187" s="335">
        <f t="shared" si="19"/>
        <v>71.704609058202152</v>
      </c>
      <c r="R187" s="595">
        <v>185</v>
      </c>
    </row>
    <row r="188" spans="1:18">
      <c r="A188" s="607">
        <v>186</v>
      </c>
      <c r="B188" s="799"/>
      <c r="C188" s="333">
        <v>22</v>
      </c>
      <c r="D188" s="334">
        <v>18</v>
      </c>
      <c r="E188" s="335">
        <v>21.45</v>
      </c>
      <c r="F188" s="355" t="s">
        <v>364</v>
      </c>
      <c r="G188" s="334">
        <v>10</v>
      </c>
      <c r="H188" s="335">
        <v>12</v>
      </c>
      <c r="I188" s="335">
        <v>112.59</v>
      </c>
      <c r="J188" s="335">
        <v>58.37</v>
      </c>
      <c r="K188" s="335">
        <v>36.92</v>
      </c>
      <c r="L188" s="356">
        <v>28.15</v>
      </c>
      <c r="M188" s="335">
        <v>56.3</v>
      </c>
      <c r="N188" s="335">
        <f t="shared" si="20"/>
        <v>18.845538028156565</v>
      </c>
      <c r="O188" s="335">
        <f t="shared" si="21"/>
        <v>26.807121244461396</v>
      </c>
      <c r="P188" s="335">
        <f t="shared" si="22"/>
        <v>159.73315312499997</v>
      </c>
      <c r="Q188" s="335">
        <f t="shared" si="19"/>
        <v>72.015950780371995</v>
      </c>
      <c r="R188" s="595">
        <v>186</v>
      </c>
    </row>
    <row r="189" spans="1:18">
      <c r="A189" s="607">
        <v>187</v>
      </c>
      <c r="B189" s="799"/>
      <c r="C189" s="333">
        <v>23</v>
      </c>
      <c r="D189" s="334">
        <v>18</v>
      </c>
      <c r="E189" s="335">
        <v>21.45</v>
      </c>
      <c r="F189" s="355" t="s">
        <v>365</v>
      </c>
      <c r="G189" s="334">
        <v>12</v>
      </c>
      <c r="H189" s="335">
        <v>14.58</v>
      </c>
      <c r="I189" s="335">
        <v>112.59</v>
      </c>
      <c r="J189" s="335">
        <v>58.83</v>
      </c>
      <c r="K189" s="335">
        <v>37.380000000000003</v>
      </c>
      <c r="L189" s="356">
        <v>28.15</v>
      </c>
      <c r="M189" s="335">
        <v>56.3</v>
      </c>
      <c r="N189" s="335">
        <f t="shared" si="20"/>
        <v>19.902480334343466</v>
      </c>
      <c r="O189" s="335">
        <f t="shared" si="21"/>
        <v>28.449466100394709</v>
      </c>
      <c r="P189" s="335">
        <f t="shared" si="22"/>
        <v>160.99197187499999</v>
      </c>
      <c r="Q189" s="335">
        <f t="shared" si="19"/>
        <v>72.919482644185578</v>
      </c>
      <c r="R189" s="595">
        <v>187</v>
      </c>
    </row>
    <row r="190" spans="1:18">
      <c r="A190" s="607">
        <v>188</v>
      </c>
      <c r="B190" s="799"/>
      <c r="C190" s="333">
        <v>24</v>
      </c>
      <c r="D190" s="334">
        <v>18</v>
      </c>
      <c r="E190" s="335">
        <v>21.45</v>
      </c>
      <c r="F190" s="355" t="s">
        <v>366</v>
      </c>
      <c r="G190" s="334">
        <v>15</v>
      </c>
      <c r="H190" s="335">
        <v>17.73</v>
      </c>
      <c r="I190" s="335">
        <v>112.59</v>
      </c>
      <c r="J190" s="335">
        <v>57.58</v>
      </c>
      <c r="K190" s="335">
        <v>36.130000000000003</v>
      </c>
      <c r="L190" s="356">
        <v>28.15</v>
      </c>
      <c r="M190" s="335">
        <v>56.3</v>
      </c>
      <c r="N190" s="335">
        <f t="shared" si="20"/>
        <v>21.515573624729662</v>
      </c>
      <c r="O190" s="335">
        <f t="shared" si="21"/>
        <v>30.440365400712359</v>
      </c>
      <c r="P190" s="335">
        <f t="shared" si="22"/>
        <v>157.57126874999997</v>
      </c>
      <c r="Q190" s="335">
        <f t="shared" si="19"/>
        <v>72.367934964444714</v>
      </c>
      <c r="R190" s="595">
        <v>188</v>
      </c>
    </row>
    <row r="191" spans="1:18">
      <c r="A191" s="607">
        <v>189</v>
      </c>
      <c r="B191" s="799"/>
      <c r="C191" s="333">
        <v>25</v>
      </c>
      <c r="D191" s="334">
        <v>18</v>
      </c>
      <c r="E191" s="335">
        <v>21.45</v>
      </c>
      <c r="F191" s="355" t="s">
        <v>367</v>
      </c>
      <c r="G191" s="334">
        <v>18</v>
      </c>
      <c r="H191" s="335">
        <v>21.45</v>
      </c>
      <c r="I191" s="335">
        <v>112.59</v>
      </c>
      <c r="J191" s="335">
        <v>59.97</v>
      </c>
      <c r="K191" s="335">
        <v>38.520000000000003</v>
      </c>
      <c r="L191" s="356">
        <v>28.15</v>
      </c>
      <c r="M191" s="335">
        <v>56.3</v>
      </c>
      <c r="N191" s="335">
        <f t="shared" si="20"/>
        <v>24.391030838159882</v>
      </c>
      <c r="O191" s="335">
        <f t="shared" si="21"/>
        <v>34.636957611773013</v>
      </c>
      <c r="P191" s="335">
        <f t="shared" si="22"/>
        <v>164.11165312499998</v>
      </c>
      <c r="Q191" s="335">
        <f t="shared" si="19"/>
        <v>76.180909043450669</v>
      </c>
      <c r="R191" s="595">
        <v>189</v>
      </c>
    </row>
    <row r="192" spans="1:18">
      <c r="A192" s="607">
        <v>190</v>
      </c>
      <c r="B192" s="799"/>
      <c r="C192" s="333">
        <v>26</v>
      </c>
      <c r="D192" s="334">
        <v>24</v>
      </c>
      <c r="E192" s="335">
        <v>28.2</v>
      </c>
      <c r="F192" s="355" t="s">
        <v>368</v>
      </c>
      <c r="G192" s="334">
        <v>4</v>
      </c>
      <c r="H192" s="335">
        <v>4.75</v>
      </c>
      <c r="I192" s="335">
        <v>114.1</v>
      </c>
      <c r="J192" s="335">
        <v>64.180000000000007</v>
      </c>
      <c r="K192" s="335">
        <v>35.979999999999997</v>
      </c>
      <c r="L192" s="356">
        <v>28.53</v>
      </c>
      <c r="M192" s="335">
        <v>57.05</v>
      </c>
      <c r="N192" s="335">
        <f t="shared" si="20"/>
        <v>30.22008511007315</v>
      </c>
      <c r="O192" s="335">
        <f t="shared" si="21"/>
        <v>41.732904765696915</v>
      </c>
      <c r="P192" s="335">
        <f t="shared" si="22"/>
        <v>177.98807638888889</v>
      </c>
      <c r="Q192" s="335">
        <f t="shared" si="19"/>
        <v>84.722153759349936</v>
      </c>
      <c r="R192" s="595">
        <v>190</v>
      </c>
    </row>
    <row r="193" spans="1:18">
      <c r="A193" s="607">
        <v>191</v>
      </c>
      <c r="B193" s="799"/>
      <c r="C193" s="333">
        <v>27</v>
      </c>
      <c r="D193" s="334">
        <v>24</v>
      </c>
      <c r="E193" s="335">
        <v>28.2</v>
      </c>
      <c r="F193" s="355" t="s">
        <v>369</v>
      </c>
      <c r="G193" s="334">
        <v>6</v>
      </c>
      <c r="H193" s="335">
        <v>7.05</v>
      </c>
      <c r="I193" s="335">
        <v>114.1</v>
      </c>
      <c r="J193" s="335">
        <v>64.819999999999993</v>
      </c>
      <c r="K193" s="335">
        <v>36.619999999999997</v>
      </c>
      <c r="L193" s="356">
        <v>28.53</v>
      </c>
      <c r="M193" s="335">
        <v>57.05</v>
      </c>
      <c r="N193" s="335">
        <f t="shared" si="20"/>
        <v>30.67699776383483</v>
      </c>
      <c r="O193" s="335">
        <f t="shared" si="21"/>
        <v>42.353430037694459</v>
      </c>
      <c r="P193" s="335">
        <f t="shared" si="22"/>
        <v>179.76296527777777</v>
      </c>
      <c r="Q193" s="335">
        <f t="shared" si="19"/>
        <v>85.640811859868151</v>
      </c>
      <c r="R193" s="595">
        <v>191</v>
      </c>
    </row>
    <row r="194" spans="1:18">
      <c r="A194" s="607">
        <v>192</v>
      </c>
      <c r="B194" s="799"/>
      <c r="C194" s="333">
        <v>28</v>
      </c>
      <c r="D194" s="334">
        <v>24</v>
      </c>
      <c r="E194" s="335">
        <v>28.2</v>
      </c>
      <c r="F194" s="355" t="s">
        <v>370</v>
      </c>
      <c r="G194" s="334">
        <v>8</v>
      </c>
      <c r="H194" s="335">
        <v>9.4</v>
      </c>
      <c r="I194" s="335">
        <v>114.1</v>
      </c>
      <c r="J194" s="335">
        <v>65.12</v>
      </c>
      <c r="K194" s="335">
        <v>36.92</v>
      </c>
      <c r="L194" s="356">
        <v>28.53</v>
      </c>
      <c r="M194" s="335">
        <v>57.05</v>
      </c>
      <c r="N194" s="335">
        <f t="shared" si="20"/>
        <v>31.321096979872905</v>
      </c>
      <c r="O194" s="335">
        <f t="shared" si="21"/>
        <v>43.242689517837029</v>
      </c>
      <c r="P194" s="335">
        <f t="shared" si="22"/>
        <v>180.59494444444445</v>
      </c>
      <c r="Q194" s="335">
        <f t="shared" si="19"/>
        <v>86.261998950515874</v>
      </c>
      <c r="R194" s="595">
        <v>192</v>
      </c>
    </row>
    <row r="195" spans="1:18">
      <c r="A195" s="607">
        <v>193</v>
      </c>
      <c r="B195" s="799"/>
      <c r="C195" s="333">
        <v>29</v>
      </c>
      <c r="D195" s="334">
        <v>24</v>
      </c>
      <c r="E195" s="335">
        <v>28.2</v>
      </c>
      <c r="F195" s="355" t="s">
        <v>371</v>
      </c>
      <c r="G195" s="334">
        <v>10</v>
      </c>
      <c r="H195" s="335">
        <v>12</v>
      </c>
      <c r="I195" s="335">
        <v>114.1</v>
      </c>
      <c r="J195" s="335">
        <v>65.12</v>
      </c>
      <c r="K195" s="335">
        <v>36.92</v>
      </c>
      <c r="L195" s="356">
        <v>28.53</v>
      </c>
      <c r="M195" s="335">
        <v>57.05</v>
      </c>
      <c r="N195" s="335">
        <f t="shared" si="20"/>
        <v>32.136602072867255</v>
      </c>
      <c r="O195" s="335">
        <f t="shared" si="21"/>
        <v>44.503097944898293</v>
      </c>
      <c r="P195" s="335">
        <f t="shared" si="22"/>
        <v>180.59494444444445</v>
      </c>
      <c r="Q195" s="335">
        <f t="shared" si="19"/>
        <v>86.573340672685731</v>
      </c>
      <c r="R195" s="595">
        <v>193</v>
      </c>
    </row>
    <row r="196" spans="1:18">
      <c r="A196" s="607">
        <v>194</v>
      </c>
      <c r="B196" s="799"/>
      <c r="C196" s="333">
        <v>30</v>
      </c>
      <c r="D196" s="334">
        <v>24</v>
      </c>
      <c r="E196" s="335">
        <v>28.2</v>
      </c>
      <c r="F196" s="355" t="s">
        <v>372</v>
      </c>
      <c r="G196" s="334">
        <v>12</v>
      </c>
      <c r="H196" s="335">
        <v>14.58</v>
      </c>
      <c r="I196" s="335">
        <v>114.1</v>
      </c>
      <c r="J196" s="335">
        <v>65.58</v>
      </c>
      <c r="K196" s="335">
        <v>37.380000000000003</v>
      </c>
      <c r="L196" s="356">
        <v>28.53</v>
      </c>
      <c r="M196" s="335">
        <v>57.05</v>
      </c>
      <c r="N196" s="335">
        <f t="shared" si="20"/>
        <v>33.193544379054153</v>
      </c>
      <c r="O196" s="335">
        <f t="shared" si="21"/>
        <v>46.14544280083161</v>
      </c>
      <c r="P196" s="335">
        <f t="shared" si="22"/>
        <v>181.87064583333333</v>
      </c>
      <c r="Q196" s="335">
        <f t="shared" si="19"/>
        <v>87.483625592054835</v>
      </c>
      <c r="R196" s="595">
        <v>194</v>
      </c>
    </row>
    <row r="197" spans="1:18">
      <c r="A197" s="607">
        <v>195</v>
      </c>
      <c r="B197" s="799"/>
      <c r="C197" s="333">
        <v>31</v>
      </c>
      <c r="D197" s="334">
        <v>24</v>
      </c>
      <c r="E197" s="335">
        <v>28.2</v>
      </c>
      <c r="F197" s="355" t="s">
        <v>373</v>
      </c>
      <c r="G197" s="334">
        <v>15</v>
      </c>
      <c r="H197" s="335">
        <v>17.73</v>
      </c>
      <c r="I197" s="335">
        <v>114.1</v>
      </c>
      <c r="J197" s="335">
        <v>64.33</v>
      </c>
      <c r="K197" s="335">
        <v>36.130000000000003</v>
      </c>
      <c r="L197" s="356">
        <v>28.53</v>
      </c>
      <c r="M197" s="335">
        <v>57.05</v>
      </c>
      <c r="N197" s="335">
        <f t="shared" si="20"/>
        <v>34.806637669440349</v>
      </c>
      <c r="O197" s="335">
        <f t="shared" si="21"/>
        <v>48.13634210114926</v>
      </c>
      <c r="P197" s="335">
        <f t="shared" si="22"/>
        <v>178.40406597222221</v>
      </c>
      <c r="Q197" s="335">
        <f t="shared" si="19"/>
        <v>86.913727217869535</v>
      </c>
      <c r="R197" s="595">
        <v>195</v>
      </c>
    </row>
    <row r="198" spans="1:18">
      <c r="A198" s="607">
        <v>196</v>
      </c>
      <c r="B198" s="799"/>
      <c r="C198" s="333">
        <v>32</v>
      </c>
      <c r="D198" s="334">
        <v>24</v>
      </c>
      <c r="E198" s="335">
        <v>28.2</v>
      </c>
      <c r="F198" s="355" t="s">
        <v>374</v>
      </c>
      <c r="G198" s="334">
        <v>18</v>
      </c>
      <c r="H198" s="335">
        <v>21.45</v>
      </c>
      <c r="I198" s="335">
        <v>114.1</v>
      </c>
      <c r="J198" s="335">
        <v>66.72</v>
      </c>
      <c r="K198" s="335">
        <v>38.520000000000003</v>
      </c>
      <c r="L198" s="356">
        <v>28.53</v>
      </c>
      <c r="M198" s="335">
        <v>57.05</v>
      </c>
      <c r="N198" s="335">
        <f t="shared" si="20"/>
        <v>37.682094882870572</v>
      </c>
      <c r="O198" s="335">
        <f t="shared" si="21"/>
        <v>52.332934312209915</v>
      </c>
      <c r="P198" s="335">
        <f t="shared" si="22"/>
        <v>185.03216666666665</v>
      </c>
      <c r="Q198" s="335">
        <f t="shared" si="19"/>
        <v>90.761787824653268</v>
      </c>
      <c r="R198" s="595">
        <v>196</v>
      </c>
    </row>
    <row r="199" spans="1:18">
      <c r="A199" s="607">
        <v>197</v>
      </c>
      <c r="B199" s="799"/>
      <c r="C199" s="333">
        <v>33</v>
      </c>
      <c r="D199" s="334">
        <v>24</v>
      </c>
      <c r="E199" s="335">
        <v>28.2</v>
      </c>
      <c r="F199" s="355" t="s">
        <v>656</v>
      </c>
      <c r="G199" s="334">
        <v>24</v>
      </c>
      <c r="H199" s="335">
        <v>28.2</v>
      </c>
      <c r="I199" s="335">
        <v>114.1</v>
      </c>
      <c r="J199" s="335">
        <v>66.67</v>
      </c>
      <c r="K199" s="335">
        <v>38.47</v>
      </c>
      <c r="L199" s="356">
        <v>28.53</v>
      </c>
      <c r="M199" s="335">
        <v>57.05</v>
      </c>
      <c r="N199" s="369">
        <f t="shared" si="20"/>
        <v>43.730969737969914</v>
      </c>
      <c r="O199" s="335">
        <f t="shared" si="21"/>
        <v>60.376070094484717</v>
      </c>
      <c r="P199" s="335">
        <f t="shared" si="22"/>
        <v>184.89350347222222</v>
      </c>
      <c r="Q199" s="335">
        <f t="shared" si="19"/>
        <v>93.537943089064925</v>
      </c>
      <c r="R199" s="595">
        <v>197</v>
      </c>
    </row>
    <row r="200" spans="1:18">
      <c r="A200" s="607">
        <v>198</v>
      </c>
      <c r="B200" s="799"/>
      <c r="C200" s="333">
        <v>34</v>
      </c>
      <c r="D200" s="334">
        <v>30</v>
      </c>
      <c r="E200" s="335">
        <v>34.89</v>
      </c>
      <c r="F200" s="355" t="s">
        <v>375</v>
      </c>
      <c r="G200" s="334">
        <v>4</v>
      </c>
      <c r="H200" s="335">
        <v>4.75</v>
      </c>
      <c r="I200" s="335">
        <v>116</v>
      </c>
      <c r="J200" s="335">
        <v>70.87</v>
      </c>
      <c r="K200" s="335">
        <v>35.979999999999997</v>
      </c>
      <c r="L200" s="356">
        <v>29</v>
      </c>
      <c r="M200" s="335">
        <v>58</v>
      </c>
      <c r="N200" s="335">
        <f t="shared" si="20"/>
        <v>47.799914000786032</v>
      </c>
      <c r="O200" s="335">
        <f t="shared" si="21"/>
        <v>64.672766871070564</v>
      </c>
      <c r="P200" s="335">
        <f t="shared" si="22"/>
        <v>199.8140277777778</v>
      </c>
      <c r="Q200" s="335">
        <f t="shared" si="19"/>
        <v>101.85641836346892</v>
      </c>
      <c r="R200" s="595">
        <v>198</v>
      </c>
    </row>
    <row r="201" spans="1:18">
      <c r="A201" s="607">
        <v>199</v>
      </c>
      <c r="B201" s="799"/>
      <c r="C201" s="333">
        <v>35</v>
      </c>
      <c r="D201" s="334">
        <v>30</v>
      </c>
      <c r="E201" s="335">
        <v>34.89</v>
      </c>
      <c r="F201" s="355" t="s">
        <v>376</v>
      </c>
      <c r="G201" s="334">
        <v>6</v>
      </c>
      <c r="H201" s="335">
        <v>7.05</v>
      </c>
      <c r="I201" s="335">
        <v>116</v>
      </c>
      <c r="J201" s="335">
        <v>71.510000000000005</v>
      </c>
      <c r="K201" s="335">
        <v>36.619999999999997</v>
      </c>
      <c r="L201" s="356">
        <v>29</v>
      </c>
      <c r="M201" s="335">
        <v>58</v>
      </c>
      <c r="N201" s="335">
        <f t="shared" si="20"/>
        <v>48.256826654547716</v>
      </c>
      <c r="O201" s="335">
        <f t="shared" si="21"/>
        <v>65.293292143068101</v>
      </c>
      <c r="P201" s="335">
        <f t="shared" si="22"/>
        <v>201.61847222222224</v>
      </c>
      <c r="Q201" s="335">
        <f t="shared" si="19"/>
        <v>102.78689868620938</v>
      </c>
      <c r="R201" s="595">
        <v>199</v>
      </c>
    </row>
    <row r="202" spans="1:18">
      <c r="A202" s="607">
        <v>200</v>
      </c>
      <c r="B202" s="799"/>
      <c r="C202" s="333">
        <v>36</v>
      </c>
      <c r="D202" s="334">
        <v>30</v>
      </c>
      <c r="E202" s="335">
        <v>34.89</v>
      </c>
      <c r="F202" s="355" t="s">
        <v>377</v>
      </c>
      <c r="G202" s="334">
        <v>8</v>
      </c>
      <c r="H202" s="335">
        <v>9.4</v>
      </c>
      <c r="I202" s="335">
        <v>116</v>
      </c>
      <c r="J202" s="335">
        <v>71.81</v>
      </c>
      <c r="K202" s="335">
        <v>36.92</v>
      </c>
      <c r="L202" s="356">
        <v>29</v>
      </c>
      <c r="M202" s="335">
        <v>58</v>
      </c>
      <c r="N202" s="335">
        <f t="shared" si="20"/>
        <v>48.900925870585787</v>
      </c>
      <c r="O202" s="335">
        <f t="shared" si="21"/>
        <v>66.182551623210671</v>
      </c>
      <c r="P202" s="335">
        <f t="shared" si="22"/>
        <v>202.46430555555557</v>
      </c>
      <c r="Q202" s="335">
        <f t="shared" si="19"/>
        <v>103.41362744352375</v>
      </c>
      <c r="R202" s="595">
        <v>200</v>
      </c>
    </row>
    <row r="203" spans="1:18">
      <c r="A203" s="607">
        <v>201</v>
      </c>
      <c r="B203" s="799"/>
      <c r="C203" s="333">
        <v>37</v>
      </c>
      <c r="D203" s="334">
        <v>30</v>
      </c>
      <c r="E203" s="335">
        <v>34.89</v>
      </c>
      <c r="F203" s="355" t="s">
        <v>378</v>
      </c>
      <c r="G203" s="334">
        <v>10</v>
      </c>
      <c r="H203" s="335">
        <v>12</v>
      </c>
      <c r="I203" s="335">
        <v>116</v>
      </c>
      <c r="J203" s="335">
        <v>71.81</v>
      </c>
      <c r="K203" s="335">
        <v>36.92</v>
      </c>
      <c r="L203" s="356">
        <v>29</v>
      </c>
      <c r="M203" s="335">
        <v>58</v>
      </c>
      <c r="N203" s="335">
        <f t="shared" si="20"/>
        <v>49.716430963580137</v>
      </c>
      <c r="O203" s="335">
        <f t="shared" si="21"/>
        <v>67.442960050271935</v>
      </c>
      <c r="P203" s="335">
        <f t="shared" si="22"/>
        <v>202.46430555555557</v>
      </c>
      <c r="Q203" s="335">
        <f t="shared" si="19"/>
        <v>103.72496916569361</v>
      </c>
      <c r="R203" s="595">
        <v>201</v>
      </c>
    </row>
    <row r="204" spans="1:18">
      <c r="A204" s="607">
        <v>202</v>
      </c>
      <c r="B204" s="799"/>
      <c r="C204" s="333">
        <v>38</v>
      </c>
      <c r="D204" s="334">
        <v>30</v>
      </c>
      <c r="E204" s="335">
        <v>34.89</v>
      </c>
      <c r="F204" s="355" t="s">
        <v>379</v>
      </c>
      <c r="G204" s="334">
        <v>12</v>
      </c>
      <c r="H204" s="335">
        <v>14.58</v>
      </c>
      <c r="I204" s="335">
        <v>116</v>
      </c>
      <c r="J204" s="335">
        <v>72.27</v>
      </c>
      <c r="K204" s="335">
        <v>37.380000000000003</v>
      </c>
      <c r="L204" s="356">
        <v>29</v>
      </c>
      <c r="M204" s="335">
        <v>58</v>
      </c>
      <c r="N204" s="335">
        <f t="shared" si="20"/>
        <v>50.773373269767042</v>
      </c>
      <c r="O204" s="335">
        <f t="shared" si="21"/>
        <v>69.085304906205252</v>
      </c>
      <c r="P204" s="335">
        <f t="shared" si="22"/>
        <v>203.76124999999999</v>
      </c>
      <c r="Q204" s="335">
        <f t="shared" si="19"/>
        <v>104.64375130728493</v>
      </c>
      <c r="R204" s="595">
        <v>202</v>
      </c>
    </row>
    <row r="205" spans="1:18">
      <c r="A205" s="607">
        <v>203</v>
      </c>
      <c r="B205" s="799"/>
      <c r="C205" s="333">
        <v>39</v>
      </c>
      <c r="D205" s="334">
        <v>30</v>
      </c>
      <c r="E205" s="335">
        <v>34.89</v>
      </c>
      <c r="F205" s="355" t="s">
        <v>380</v>
      </c>
      <c r="G205" s="334">
        <v>15</v>
      </c>
      <c r="H205" s="335">
        <v>17.73</v>
      </c>
      <c r="I205" s="335">
        <v>116</v>
      </c>
      <c r="J205" s="335">
        <v>71.02</v>
      </c>
      <c r="K205" s="335">
        <v>36.130000000000003</v>
      </c>
      <c r="L205" s="356">
        <v>29</v>
      </c>
      <c r="M205" s="335">
        <v>58</v>
      </c>
      <c r="N205" s="335">
        <f t="shared" si="20"/>
        <v>52.386466560153238</v>
      </c>
      <c r="O205" s="335">
        <f t="shared" si="21"/>
        <v>71.076204206522902</v>
      </c>
      <c r="P205" s="335">
        <f t="shared" si="22"/>
        <v>200.23694444444445</v>
      </c>
      <c r="Q205" s="335">
        <f t="shared" si="19"/>
        <v>104.05076265532186</v>
      </c>
      <c r="R205" s="595">
        <v>203</v>
      </c>
    </row>
    <row r="206" spans="1:18">
      <c r="A206" s="607">
        <v>204</v>
      </c>
      <c r="B206" s="799"/>
      <c r="C206" s="333">
        <v>40</v>
      </c>
      <c r="D206" s="334">
        <v>30</v>
      </c>
      <c r="E206" s="335">
        <v>34.89</v>
      </c>
      <c r="F206" s="355" t="s">
        <v>381</v>
      </c>
      <c r="G206" s="334">
        <v>18</v>
      </c>
      <c r="H206" s="335">
        <v>21.45</v>
      </c>
      <c r="I206" s="335">
        <v>116</v>
      </c>
      <c r="J206" s="335">
        <v>73.41</v>
      </c>
      <c r="K206" s="335">
        <v>38.520000000000003</v>
      </c>
      <c r="L206" s="356">
        <v>29</v>
      </c>
      <c r="M206" s="335">
        <v>58</v>
      </c>
      <c r="N206" s="335">
        <f t="shared" si="20"/>
        <v>55.261923773583455</v>
      </c>
      <c r="O206" s="335">
        <f t="shared" si="21"/>
        <v>75.27279641758355</v>
      </c>
      <c r="P206" s="335">
        <f t="shared" si="22"/>
        <v>206.97541666666663</v>
      </c>
      <c r="Q206" s="335">
        <f t="shared" si="19"/>
        <v>107.94297187321669</v>
      </c>
      <c r="R206" s="595">
        <v>204</v>
      </c>
    </row>
    <row r="207" spans="1:18">
      <c r="A207" s="607">
        <v>205</v>
      </c>
      <c r="B207" s="799"/>
      <c r="C207" s="333">
        <v>41</v>
      </c>
      <c r="D207" s="334">
        <v>30</v>
      </c>
      <c r="E207" s="335">
        <v>34.89</v>
      </c>
      <c r="F207" s="355" t="s">
        <v>657</v>
      </c>
      <c r="G207" s="334">
        <v>24</v>
      </c>
      <c r="H207" s="335">
        <v>28.2</v>
      </c>
      <c r="I207" s="335">
        <v>116</v>
      </c>
      <c r="J207" s="335">
        <v>73.36</v>
      </c>
      <c r="K207" s="335">
        <v>38.47</v>
      </c>
      <c r="L207" s="356">
        <v>29</v>
      </c>
      <c r="M207" s="335">
        <v>58</v>
      </c>
      <c r="N207" s="369">
        <f t="shared" si="20"/>
        <v>61.310798628682804</v>
      </c>
      <c r="O207" s="335">
        <f t="shared" si="21"/>
        <v>83.315932199858366</v>
      </c>
      <c r="P207" s="335">
        <f t="shared" si="22"/>
        <v>206.83444444444444</v>
      </c>
      <c r="Q207" s="335">
        <f t="shared" si="19"/>
        <v>110.71820352651724</v>
      </c>
      <c r="R207" s="595">
        <v>205</v>
      </c>
    </row>
    <row r="208" spans="1:18">
      <c r="A208" s="607">
        <v>206</v>
      </c>
      <c r="B208" s="799"/>
      <c r="C208" s="333">
        <v>42</v>
      </c>
      <c r="D208" s="334">
        <v>36</v>
      </c>
      <c r="E208" s="335">
        <v>40.9</v>
      </c>
      <c r="F208" s="355" t="s">
        <v>382</v>
      </c>
      <c r="G208" s="334">
        <v>4</v>
      </c>
      <c r="H208" s="335">
        <v>4.75</v>
      </c>
      <c r="I208" s="335">
        <v>116</v>
      </c>
      <c r="J208" s="335">
        <v>76.88</v>
      </c>
      <c r="K208" s="335">
        <v>35.979999999999997</v>
      </c>
      <c r="L208" s="356">
        <v>29</v>
      </c>
      <c r="M208" s="335">
        <v>58</v>
      </c>
      <c r="N208" s="335">
        <f t="shared" si="20"/>
        <v>68.678415177768201</v>
      </c>
      <c r="O208" s="335">
        <f t="shared" si="21"/>
        <v>88.688204854057687</v>
      </c>
      <c r="P208" s="335">
        <f t="shared" si="22"/>
        <v>216.75888888888889</v>
      </c>
      <c r="Q208" s="335">
        <f t="shared" si="19"/>
        <v>119.90668879170069</v>
      </c>
      <c r="R208" s="595">
        <v>206</v>
      </c>
    </row>
    <row r="209" spans="1:18">
      <c r="A209" s="607">
        <v>207</v>
      </c>
      <c r="B209" s="799"/>
      <c r="C209" s="333">
        <v>43</v>
      </c>
      <c r="D209" s="334">
        <v>36</v>
      </c>
      <c r="E209" s="335">
        <v>40.9</v>
      </c>
      <c r="F209" s="355" t="s">
        <v>383</v>
      </c>
      <c r="G209" s="334">
        <v>6</v>
      </c>
      <c r="H209" s="335">
        <v>7.05</v>
      </c>
      <c r="I209" s="335">
        <v>116</v>
      </c>
      <c r="J209" s="335">
        <v>77.52</v>
      </c>
      <c r="K209" s="335">
        <v>36.619999999999997</v>
      </c>
      <c r="L209" s="356">
        <v>29</v>
      </c>
      <c r="M209" s="335">
        <v>58</v>
      </c>
      <c r="N209" s="335">
        <f t="shared" si="20"/>
        <v>69.135327831529878</v>
      </c>
      <c r="O209" s="335">
        <f t="shared" si="21"/>
        <v>89.308730126055224</v>
      </c>
      <c r="P209" s="335">
        <f t="shared" si="22"/>
        <v>218.56333333333333</v>
      </c>
      <c r="Q209" s="335">
        <f t="shared" si="19"/>
        <v>120.83716911444112</v>
      </c>
      <c r="R209" s="595">
        <v>207</v>
      </c>
    </row>
    <row r="210" spans="1:18">
      <c r="A210" s="607">
        <v>208</v>
      </c>
      <c r="B210" s="799"/>
      <c r="C210" s="333">
        <v>44</v>
      </c>
      <c r="D210" s="334">
        <v>36</v>
      </c>
      <c r="E210" s="335">
        <v>40.9</v>
      </c>
      <c r="F210" s="355" t="s">
        <v>384</v>
      </c>
      <c r="G210" s="334">
        <v>8</v>
      </c>
      <c r="H210" s="335">
        <v>9.4</v>
      </c>
      <c r="I210" s="335">
        <v>116</v>
      </c>
      <c r="J210" s="335">
        <v>77.819999999999993</v>
      </c>
      <c r="K210" s="335">
        <v>36.92</v>
      </c>
      <c r="L210" s="356">
        <v>29</v>
      </c>
      <c r="M210" s="335">
        <v>58</v>
      </c>
      <c r="N210" s="335">
        <f t="shared" si="20"/>
        <v>69.77942704756795</v>
      </c>
      <c r="O210" s="335">
        <f t="shared" si="21"/>
        <v>90.197989606197794</v>
      </c>
      <c r="P210" s="335">
        <f t="shared" si="22"/>
        <v>219.40916666666666</v>
      </c>
      <c r="Q210" s="335">
        <f t="shared" si="19"/>
        <v>121.46389787175549</v>
      </c>
      <c r="R210" s="595">
        <v>208</v>
      </c>
    </row>
    <row r="211" spans="1:18">
      <c r="A211" s="607">
        <v>209</v>
      </c>
      <c r="B211" s="799"/>
      <c r="C211" s="333">
        <v>45</v>
      </c>
      <c r="D211" s="334">
        <v>36</v>
      </c>
      <c r="E211" s="335">
        <v>40.9</v>
      </c>
      <c r="F211" s="355" t="s">
        <v>385</v>
      </c>
      <c r="G211" s="334">
        <v>10</v>
      </c>
      <c r="H211" s="335">
        <v>12</v>
      </c>
      <c r="I211" s="335">
        <v>116</v>
      </c>
      <c r="J211" s="335">
        <v>77.819999999999993</v>
      </c>
      <c r="K211" s="335">
        <v>36.92</v>
      </c>
      <c r="L211" s="356">
        <v>29</v>
      </c>
      <c r="M211" s="335">
        <v>58</v>
      </c>
      <c r="N211" s="335">
        <f t="shared" si="20"/>
        <v>70.594932140562307</v>
      </c>
      <c r="O211" s="335">
        <f t="shared" si="21"/>
        <v>91.458398033259058</v>
      </c>
      <c r="P211" s="335">
        <f t="shared" si="22"/>
        <v>219.40916666666666</v>
      </c>
      <c r="Q211" s="335">
        <f t="shared" si="19"/>
        <v>121.77523959392535</v>
      </c>
      <c r="R211" s="595">
        <v>209</v>
      </c>
    </row>
    <row r="212" spans="1:18">
      <c r="A212" s="607">
        <v>210</v>
      </c>
      <c r="B212" s="799"/>
      <c r="C212" s="333">
        <v>46</v>
      </c>
      <c r="D212" s="334">
        <v>36</v>
      </c>
      <c r="E212" s="335">
        <v>40.9</v>
      </c>
      <c r="F212" s="355" t="s">
        <v>386</v>
      </c>
      <c r="G212" s="334">
        <v>12</v>
      </c>
      <c r="H212" s="335">
        <v>14.58</v>
      </c>
      <c r="I212" s="335">
        <v>116</v>
      </c>
      <c r="J212" s="335">
        <v>78.28</v>
      </c>
      <c r="K212" s="335">
        <v>37.380000000000003</v>
      </c>
      <c r="L212" s="356">
        <v>29</v>
      </c>
      <c r="M212" s="335">
        <v>58</v>
      </c>
      <c r="N212" s="335">
        <f t="shared" si="20"/>
        <v>71.651874446749204</v>
      </c>
      <c r="O212" s="335">
        <f t="shared" si="21"/>
        <v>93.100742889192375</v>
      </c>
      <c r="P212" s="335">
        <f t="shared" si="22"/>
        <v>220.70611111111114</v>
      </c>
      <c r="Q212" s="335">
        <f t="shared" si="19"/>
        <v>122.69402173551671</v>
      </c>
      <c r="R212" s="595">
        <v>210</v>
      </c>
    </row>
    <row r="213" spans="1:18">
      <c r="A213" s="607">
        <v>211</v>
      </c>
      <c r="B213" s="799"/>
      <c r="C213" s="333">
        <v>47</v>
      </c>
      <c r="D213" s="334">
        <v>36</v>
      </c>
      <c r="E213" s="335">
        <v>40.9</v>
      </c>
      <c r="F213" s="355" t="s">
        <v>387</v>
      </c>
      <c r="G213" s="334">
        <v>15</v>
      </c>
      <c r="H213" s="335">
        <v>17.73</v>
      </c>
      <c r="I213" s="335">
        <v>116</v>
      </c>
      <c r="J213" s="335">
        <v>77.03</v>
      </c>
      <c r="K213" s="335">
        <v>36.130000000000003</v>
      </c>
      <c r="L213" s="356">
        <v>29</v>
      </c>
      <c r="M213" s="335">
        <v>58</v>
      </c>
      <c r="N213" s="335">
        <f t="shared" si="20"/>
        <v>73.264967737135393</v>
      </c>
      <c r="O213" s="335">
        <f t="shared" si="21"/>
        <v>95.091642189510026</v>
      </c>
      <c r="P213" s="335">
        <f t="shared" si="22"/>
        <v>217.18180555555557</v>
      </c>
      <c r="Q213" s="335">
        <f t="shared" si="19"/>
        <v>122.10103308355362</v>
      </c>
      <c r="R213" s="595">
        <v>211</v>
      </c>
    </row>
    <row r="214" spans="1:18">
      <c r="A214" s="607">
        <v>212</v>
      </c>
      <c r="B214" s="799"/>
      <c r="C214" s="333">
        <v>48</v>
      </c>
      <c r="D214" s="334">
        <v>36</v>
      </c>
      <c r="E214" s="335">
        <v>40.9</v>
      </c>
      <c r="F214" s="355" t="s">
        <v>388</v>
      </c>
      <c r="G214" s="334">
        <v>18</v>
      </c>
      <c r="H214" s="335">
        <v>21.45</v>
      </c>
      <c r="I214" s="335">
        <v>116</v>
      </c>
      <c r="J214" s="335">
        <v>79.42</v>
      </c>
      <c r="K214" s="335">
        <v>38.520000000000003</v>
      </c>
      <c r="L214" s="356">
        <v>29</v>
      </c>
      <c r="M214" s="335">
        <v>58</v>
      </c>
      <c r="N214" s="335">
        <f t="shared" si="20"/>
        <v>76.140424950565617</v>
      </c>
      <c r="O214" s="335">
        <f t="shared" si="21"/>
        <v>99.288234400570673</v>
      </c>
      <c r="P214" s="335">
        <f t="shared" si="22"/>
        <v>223.92027777777778</v>
      </c>
      <c r="Q214" s="335">
        <f t="shared" si="19"/>
        <v>125.99324230144846</v>
      </c>
      <c r="R214" s="595">
        <v>212</v>
      </c>
    </row>
    <row r="215" spans="1:18">
      <c r="A215" s="607">
        <v>213</v>
      </c>
      <c r="B215" s="799"/>
      <c r="C215" s="333">
        <v>49</v>
      </c>
      <c r="D215" s="334">
        <v>36</v>
      </c>
      <c r="E215" s="335">
        <v>40.9</v>
      </c>
      <c r="F215" s="355" t="s">
        <v>658</v>
      </c>
      <c r="G215" s="334">
        <v>24</v>
      </c>
      <c r="H215" s="335">
        <v>28.2</v>
      </c>
      <c r="I215" s="335">
        <v>116</v>
      </c>
      <c r="J215" s="335">
        <v>79.37</v>
      </c>
      <c r="K215" s="335">
        <v>38.47</v>
      </c>
      <c r="L215" s="356">
        <v>29</v>
      </c>
      <c r="M215" s="335">
        <v>58</v>
      </c>
      <c r="N215" s="369">
        <f t="shared" si="20"/>
        <v>82.189299805664973</v>
      </c>
      <c r="O215" s="335">
        <f t="shared" si="21"/>
        <v>107.33137018284549</v>
      </c>
      <c r="P215" s="335">
        <f t="shared" si="22"/>
        <v>223.77930555555557</v>
      </c>
      <c r="Q215" s="335">
        <f t="shared" si="19"/>
        <v>128.768473954749</v>
      </c>
      <c r="R215" s="595">
        <v>213</v>
      </c>
    </row>
    <row r="216" spans="1:18">
      <c r="A216" s="607">
        <v>214</v>
      </c>
      <c r="B216" s="799"/>
      <c r="C216" s="333">
        <v>50</v>
      </c>
      <c r="D216" s="334">
        <v>42</v>
      </c>
      <c r="E216" s="335">
        <v>47.53</v>
      </c>
      <c r="F216" s="355" t="s">
        <v>389</v>
      </c>
      <c r="G216" s="334">
        <v>4</v>
      </c>
      <c r="H216" s="335">
        <v>4.75</v>
      </c>
      <c r="I216" s="335">
        <v>117.33</v>
      </c>
      <c r="J216" s="335">
        <v>83.51</v>
      </c>
      <c r="K216" s="335">
        <v>35.979999999999997</v>
      </c>
      <c r="L216" s="356">
        <v>29.33</v>
      </c>
      <c r="M216" s="335">
        <v>58.67</v>
      </c>
      <c r="N216" s="335">
        <f t="shared" si="20"/>
        <v>94.419349109267444</v>
      </c>
      <c r="O216" s="335">
        <f t="shared" si="21"/>
        <v>120.96513712428336</v>
      </c>
      <c r="P216" s="335">
        <f t="shared" si="22"/>
        <v>238.15138229166666</v>
      </c>
      <c r="Q216" s="335">
        <f t="shared" si="19"/>
        <v>141.29384717622077</v>
      </c>
      <c r="R216" s="595">
        <v>214</v>
      </c>
    </row>
    <row r="217" spans="1:18">
      <c r="A217" s="607">
        <v>215</v>
      </c>
      <c r="B217" s="799"/>
      <c r="C217" s="333">
        <v>51</v>
      </c>
      <c r="D217" s="334">
        <v>42</v>
      </c>
      <c r="E217" s="335">
        <v>47.53</v>
      </c>
      <c r="F217" s="355" t="s">
        <v>390</v>
      </c>
      <c r="G217" s="334">
        <v>6</v>
      </c>
      <c r="H217" s="335">
        <v>7.05</v>
      </c>
      <c r="I217" s="335">
        <v>117.33</v>
      </c>
      <c r="J217" s="335">
        <v>84.15</v>
      </c>
      <c r="K217" s="335">
        <v>36.619999999999997</v>
      </c>
      <c r="L217" s="356">
        <v>29.33</v>
      </c>
      <c r="M217" s="335">
        <v>58.67</v>
      </c>
      <c r="N217" s="335">
        <f t="shared" si="20"/>
        <v>94.87626176302912</v>
      </c>
      <c r="O217" s="335">
        <f t="shared" si="21"/>
        <v>121.5856623962809</v>
      </c>
      <c r="P217" s="335">
        <f t="shared" si="22"/>
        <v>239.97651562499999</v>
      </c>
      <c r="Q217" s="335">
        <f t="shared" si="19"/>
        <v>142.23260305451674</v>
      </c>
      <c r="R217" s="595">
        <v>215</v>
      </c>
    </row>
    <row r="218" spans="1:18">
      <c r="A218" s="607">
        <v>216</v>
      </c>
      <c r="B218" s="799"/>
      <c r="C218" s="333">
        <v>52</v>
      </c>
      <c r="D218" s="334">
        <v>42</v>
      </c>
      <c r="E218" s="335">
        <v>47.53</v>
      </c>
      <c r="F218" s="355" t="s">
        <v>391</v>
      </c>
      <c r="G218" s="334">
        <v>8</v>
      </c>
      <c r="H218" s="335">
        <v>9.4</v>
      </c>
      <c r="I218" s="335">
        <v>117.33</v>
      </c>
      <c r="J218" s="335">
        <v>84.45</v>
      </c>
      <c r="K218" s="335">
        <v>36.92</v>
      </c>
      <c r="L218" s="356">
        <v>29.33</v>
      </c>
      <c r="M218" s="335">
        <v>58.67</v>
      </c>
      <c r="N218" s="335">
        <f t="shared" si="20"/>
        <v>95.520360979067192</v>
      </c>
      <c r="O218" s="335">
        <f t="shared" si="21"/>
        <v>122.47492187642347</v>
      </c>
      <c r="P218" s="335">
        <f t="shared" si="22"/>
        <v>240.832046875</v>
      </c>
      <c r="Q218" s="335">
        <f t="shared" si="19"/>
        <v>142.86321097849782</v>
      </c>
      <c r="R218" s="595">
        <v>216</v>
      </c>
    </row>
    <row r="219" spans="1:18">
      <c r="A219" s="607">
        <v>217</v>
      </c>
      <c r="B219" s="799"/>
      <c r="C219" s="333">
        <v>53</v>
      </c>
      <c r="D219" s="334">
        <v>42</v>
      </c>
      <c r="E219" s="335">
        <v>47.53</v>
      </c>
      <c r="F219" s="355" t="s">
        <v>392</v>
      </c>
      <c r="G219" s="334">
        <v>10</v>
      </c>
      <c r="H219" s="335">
        <v>12</v>
      </c>
      <c r="I219" s="335">
        <v>117.33</v>
      </c>
      <c r="J219" s="335">
        <v>84.45</v>
      </c>
      <c r="K219" s="335">
        <v>36.92</v>
      </c>
      <c r="L219" s="356">
        <v>29.33</v>
      </c>
      <c r="M219" s="335">
        <v>58.67</v>
      </c>
      <c r="N219" s="335">
        <f t="shared" si="20"/>
        <v>96.335866072061549</v>
      </c>
      <c r="O219" s="335">
        <f t="shared" si="21"/>
        <v>123.73533030348473</v>
      </c>
      <c r="P219" s="335">
        <f t="shared" si="22"/>
        <v>240.832046875</v>
      </c>
      <c r="Q219" s="335">
        <f t="shared" si="19"/>
        <v>143.17455270066768</v>
      </c>
      <c r="R219" s="595">
        <v>217</v>
      </c>
    </row>
    <row r="220" spans="1:18">
      <c r="A220" s="607">
        <v>218</v>
      </c>
      <c r="B220" s="799"/>
      <c r="C220" s="333">
        <v>54</v>
      </c>
      <c r="D220" s="334">
        <v>42</v>
      </c>
      <c r="E220" s="335">
        <v>47.53</v>
      </c>
      <c r="F220" s="355" t="s">
        <v>393</v>
      </c>
      <c r="G220" s="334">
        <v>12</v>
      </c>
      <c r="H220" s="335">
        <v>14.58</v>
      </c>
      <c r="I220" s="335">
        <v>117.33</v>
      </c>
      <c r="J220" s="335">
        <v>84.91</v>
      </c>
      <c r="K220" s="335">
        <v>37.380000000000003</v>
      </c>
      <c r="L220" s="356">
        <v>29.33</v>
      </c>
      <c r="M220" s="335">
        <v>58.67</v>
      </c>
      <c r="N220" s="335">
        <f t="shared" si="20"/>
        <v>97.392808378248446</v>
      </c>
      <c r="O220" s="335">
        <f t="shared" si="21"/>
        <v>125.37767515941805</v>
      </c>
      <c r="P220" s="335">
        <f t="shared" si="22"/>
        <v>242.1438614583333</v>
      </c>
      <c r="Q220" s="335">
        <f t="shared" si="19"/>
        <v>144.09928289781456</v>
      </c>
      <c r="R220" s="595">
        <v>218</v>
      </c>
    </row>
    <row r="221" spans="1:18">
      <c r="A221" s="607">
        <v>219</v>
      </c>
      <c r="B221" s="799"/>
      <c r="C221" s="333">
        <v>55</v>
      </c>
      <c r="D221" s="334">
        <v>42</v>
      </c>
      <c r="E221" s="335">
        <v>47.53</v>
      </c>
      <c r="F221" s="355" t="s">
        <v>394</v>
      </c>
      <c r="G221" s="334">
        <v>15</v>
      </c>
      <c r="H221" s="335">
        <v>17.73</v>
      </c>
      <c r="I221" s="335">
        <v>117.33</v>
      </c>
      <c r="J221" s="335">
        <v>83.66</v>
      </c>
      <c r="K221" s="335">
        <v>36.130000000000003</v>
      </c>
      <c r="L221" s="356">
        <v>29.33</v>
      </c>
      <c r="M221" s="335">
        <v>58.67</v>
      </c>
      <c r="N221" s="335">
        <f t="shared" si="20"/>
        <v>99.005901668634635</v>
      </c>
      <c r="O221" s="335">
        <f t="shared" si="21"/>
        <v>127.3685744597357</v>
      </c>
      <c r="P221" s="335">
        <f t="shared" si="22"/>
        <v>238.57914791666664</v>
      </c>
      <c r="Q221" s="335">
        <f t="shared" si="19"/>
        <v>143.49013105140702</v>
      </c>
      <c r="R221" s="595">
        <v>219</v>
      </c>
    </row>
    <row r="222" spans="1:18">
      <c r="A222" s="607">
        <v>220</v>
      </c>
      <c r="B222" s="799"/>
      <c r="C222" s="333">
        <v>56</v>
      </c>
      <c r="D222" s="334">
        <v>42</v>
      </c>
      <c r="E222" s="335">
        <v>47.53</v>
      </c>
      <c r="F222" s="355" t="s">
        <v>395</v>
      </c>
      <c r="G222" s="334">
        <v>18</v>
      </c>
      <c r="H222" s="335">
        <v>21.45</v>
      </c>
      <c r="I222" s="335">
        <v>117.33</v>
      </c>
      <c r="J222" s="335">
        <v>86.05</v>
      </c>
      <c r="K222" s="335">
        <v>38.520000000000003</v>
      </c>
      <c r="L222" s="356">
        <v>29.33</v>
      </c>
      <c r="M222" s="335">
        <v>58.67</v>
      </c>
      <c r="N222" s="335">
        <f t="shared" si="20"/>
        <v>101.88135888206486</v>
      </c>
      <c r="O222" s="335">
        <f t="shared" si="21"/>
        <v>131.56516667079634</v>
      </c>
      <c r="P222" s="335">
        <f t="shared" si="22"/>
        <v>245.39488020833329</v>
      </c>
      <c r="Q222" s="335">
        <f t="shared" si="19"/>
        <v>147.41324429707964</v>
      </c>
      <c r="R222" s="595">
        <v>220</v>
      </c>
    </row>
    <row r="223" spans="1:18">
      <c r="A223" s="607">
        <v>221</v>
      </c>
      <c r="B223" s="799"/>
      <c r="C223" s="333">
        <v>57</v>
      </c>
      <c r="D223" s="334">
        <v>42</v>
      </c>
      <c r="E223" s="335">
        <v>47.53</v>
      </c>
      <c r="F223" s="355" t="s">
        <v>659</v>
      </c>
      <c r="G223" s="334">
        <v>24</v>
      </c>
      <c r="H223" s="335">
        <v>28.2</v>
      </c>
      <c r="I223" s="335">
        <v>117.33</v>
      </c>
      <c r="J223" s="335">
        <v>86</v>
      </c>
      <c r="K223" s="335">
        <v>38.47</v>
      </c>
      <c r="L223" s="356">
        <v>29.33</v>
      </c>
      <c r="M223" s="335">
        <v>58.67</v>
      </c>
      <c r="N223" s="369">
        <f t="shared" si="20"/>
        <v>107.9302337371642</v>
      </c>
      <c r="O223" s="335">
        <f t="shared" si="21"/>
        <v>139.60830245307116</v>
      </c>
      <c r="P223" s="335">
        <f t="shared" si="22"/>
        <v>245.25229166666665</v>
      </c>
      <c r="Q223" s="335">
        <f t="shared" ref="Q223:Q286" si="23">0.4*(P223-O223)+N223</f>
        <v>150.18782942260239</v>
      </c>
      <c r="R223" s="595">
        <v>221</v>
      </c>
    </row>
    <row r="224" spans="1:18">
      <c r="A224" s="607">
        <v>222</v>
      </c>
      <c r="B224" s="799"/>
      <c r="C224" s="333">
        <v>58</v>
      </c>
      <c r="D224" s="334">
        <v>48</v>
      </c>
      <c r="E224" s="335">
        <v>54.48</v>
      </c>
      <c r="F224" s="355" t="s">
        <v>396</v>
      </c>
      <c r="G224" s="334">
        <v>4</v>
      </c>
      <c r="H224" s="335">
        <v>4.75</v>
      </c>
      <c r="I224" s="335">
        <v>117.33</v>
      </c>
      <c r="J224" s="335">
        <v>90.46</v>
      </c>
      <c r="K224" s="335">
        <v>35.979999999999997</v>
      </c>
      <c r="L224" s="356">
        <v>29.33</v>
      </c>
      <c r="M224" s="335">
        <v>58.67</v>
      </c>
      <c r="N224" s="335">
        <f t="shared" si="20"/>
        <v>123.21646364408701</v>
      </c>
      <c r="O224" s="335">
        <f t="shared" si="21"/>
        <v>158.77305544501252</v>
      </c>
      <c r="P224" s="335">
        <f t="shared" si="22"/>
        <v>257.97118958333328</v>
      </c>
      <c r="Q224" s="335">
        <f t="shared" si="23"/>
        <v>162.89571729941531</v>
      </c>
      <c r="R224" s="595">
        <v>222</v>
      </c>
    </row>
    <row r="225" spans="1:18">
      <c r="A225" s="607">
        <v>223</v>
      </c>
      <c r="B225" s="799"/>
      <c r="C225" s="333">
        <v>59</v>
      </c>
      <c r="D225" s="334">
        <v>48</v>
      </c>
      <c r="E225" s="335">
        <v>54.48</v>
      </c>
      <c r="F225" s="355" t="s">
        <v>397</v>
      </c>
      <c r="G225" s="334">
        <v>6</v>
      </c>
      <c r="H225" s="335">
        <v>7.05</v>
      </c>
      <c r="I225" s="335">
        <v>117.33</v>
      </c>
      <c r="J225" s="335">
        <v>91.1</v>
      </c>
      <c r="K225" s="335">
        <v>36.619999999999997</v>
      </c>
      <c r="L225" s="356">
        <v>29.33</v>
      </c>
      <c r="M225" s="335">
        <v>58.67</v>
      </c>
      <c r="N225" s="335">
        <f t="shared" si="20"/>
        <v>123.67337629784869</v>
      </c>
      <c r="O225" s="335">
        <f t="shared" si="21"/>
        <v>159.39358071701008</v>
      </c>
      <c r="P225" s="335">
        <f t="shared" si="22"/>
        <v>259.79632291666661</v>
      </c>
      <c r="Q225" s="335">
        <f t="shared" si="23"/>
        <v>163.83447317771129</v>
      </c>
      <c r="R225" s="595">
        <v>223</v>
      </c>
    </row>
    <row r="226" spans="1:18">
      <c r="A226" s="607">
        <v>224</v>
      </c>
      <c r="B226" s="799"/>
      <c r="C226" s="333">
        <v>60</v>
      </c>
      <c r="D226" s="334">
        <v>48</v>
      </c>
      <c r="E226" s="335">
        <v>54.48</v>
      </c>
      <c r="F226" s="355" t="s">
        <v>398</v>
      </c>
      <c r="G226" s="334">
        <v>8</v>
      </c>
      <c r="H226" s="335">
        <v>9.4</v>
      </c>
      <c r="I226" s="335">
        <v>117.33</v>
      </c>
      <c r="J226" s="335">
        <v>91.4</v>
      </c>
      <c r="K226" s="335">
        <v>36.92</v>
      </c>
      <c r="L226" s="356">
        <v>29.33</v>
      </c>
      <c r="M226" s="335">
        <v>58.67</v>
      </c>
      <c r="N226" s="335">
        <f t="shared" si="20"/>
        <v>124.31747551388676</v>
      </c>
      <c r="O226" s="335">
        <f t="shared" si="21"/>
        <v>160.28284019715264</v>
      </c>
      <c r="P226" s="335">
        <f t="shared" si="22"/>
        <v>260.65185416666668</v>
      </c>
      <c r="Q226" s="335">
        <f t="shared" si="23"/>
        <v>164.46508110169239</v>
      </c>
      <c r="R226" s="595">
        <v>224</v>
      </c>
    </row>
    <row r="227" spans="1:18">
      <c r="A227" s="607">
        <v>225</v>
      </c>
      <c r="B227" s="799"/>
      <c r="C227" s="333">
        <v>61</v>
      </c>
      <c r="D227" s="334">
        <v>48</v>
      </c>
      <c r="E227" s="335">
        <v>54.48</v>
      </c>
      <c r="F227" s="355" t="s">
        <v>399</v>
      </c>
      <c r="G227" s="334">
        <v>10</v>
      </c>
      <c r="H227" s="335">
        <v>12</v>
      </c>
      <c r="I227" s="335">
        <v>117.33</v>
      </c>
      <c r="J227" s="335">
        <v>91.4</v>
      </c>
      <c r="K227" s="335">
        <v>36.92</v>
      </c>
      <c r="L227" s="356">
        <v>29.33</v>
      </c>
      <c r="M227" s="335">
        <v>58.67</v>
      </c>
      <c r="N227" s="335">
        <f t="shared" si="20"/>
        <v>125.13298060688112</v>
      </c>
      <c r="O227" s="335">
        <f t="shared" si="21"/>
        <v>161.5432486242139</v>
      </c>
      <c r="P227" s="335">
        <f t="shared" si="22"/>
        <v>260.65185416666668</v>
      </c>
      <c r="Q227" s="335">
        <f t="shared" si="23"/>
        <v>164.77642282386222</v>
      </c>
      <c r="R227" s="595">
        <v>225</v>
      </c>
    </row>
    <row r="228" spans="1:18">
      <c r="A228" s="607">
        <v>226</v>
      </c>
      <c r="B228" s="799"/>
      <c r="C228" s="333">
        <v>62</v>
      </c>
      <c r="D228" s="334">
        <v>48</v>
      </c>
      <c r="E228" s="335">
        <v>54.48</v>
      </c>
      <c r="F228" s="355" t="s">
        <v>400</v>
      </c>
      <c r="G228" s="334">
        <v>12</v>
      </c>
      <c r="H228" s="335">
        <v>14.58</v>
      </c>
      <c r="I228" s="335">
        <v>117.33</v>
      </c>
      <c r="J228" s="335">
        <v>91.86</v>
      </c>
      <c r="K228" s="335">
        <v>37.380000000000003</v>
      </c>
      <c r="L228" s="356">
        <v>29.33</v>
      </c>
      <c r="M228" s="335">
        <v>58.67</v>
      </c>
      <c r="N228" s="335">
        <f t="shared" si="20"/>
        <v>126.18992291306802</v>
      </c>
      <c r="O228" s="335">
        <f t="shared" si="21"/>
        <v>163.18559348014722</v>
      </c>
      <c r="P228" s="335">
        <f t="shared" si="22"/>
        <v>261.96366874999995</v>
      </c>
      <c r="Q228" s="335">
        <f t="shared" si="23"/>
        <v>165.70115302100911</v>
      </c>
      <c r="R228" s="595">
        <v>226</v>
      </c>
    </row>
    <row r="229" spans="1:18">
      <c r="A229" s="607">
        <v>227</v>
      </c>
      <c r="B229" s="799"/>
      <c r="C229" s="333">
        <v>63</v>
      </c>
      <c r="D229" s="334">
        <v>48</v>
      </c>
      <c r="E229" s="335">
        <v>54.48</v>
      </c>
      <c r="F229" s="355" t="s">
        <v>401</v>
      </c>
      <c r="G229" s="334">
        <v>15</v>
      </c>
      <c r="H229" s="335">
        <v>17.73</v>
      </c>
      <c r="I229" s="335">
        <v>117.33</v>
      </c>
      <c r="J229" s="335">
        <v>90.61</v>
      </c>
      <c r="K229" s="335">
        <v>36.130000000000003</v>
      </c>
      <c r="L229" s="356">
        <v>29.33</v>
      </c>
      <c r="M229" s="335">
        <v>58.67</v>
      </c>
      <c r="N229" s="335">
        <f t="shared" si="20"/>
        <v>127.80301620345421</v>
      </c>
      <c r="O229" s="335">
        <f t="shared" si="21"/>
        <v>165.17649278046486</v>
      </c>
      <c r="P229" s="335">
        <f t="shared" si="22"/>
        <v>258.39895520833329</v>
      </c>
      <c r="Q229" s="335">
        <f t="shared" si="23"/>
        <v>165.09200117460159</v>
      </c>
      <c r="R229" s="595">
        <v>227</v>
      </c>
    </row>
    <row r="230" spans="1:18">
      <c r="A230" s="607">
        <v>228</v>
      </c>
      <c r="B230" s="799"/>
      <c r="C230" s="333">
        <v>64</v>
      </c>
      <c r="D230" s="334">
        <v>48</v>
      </c>
      <c r="E230" s="335">
        <v>54.48</v>
      </c>
      <c r="F230" s="355" t="s">
        <v>402</v>
      </c>
      <c r="G230" s="334">
        <v>18</v>
      </c>
      <c r="H230" s="335">
        <v>21.45</v>
      </c>
      <c r="I230" s="335">
        <v>117.33</v>
      </c>
      <c r="J230" s="335">
        <v>93</v>
      </c>
      <c r="K230" s="335">
        <v>38.520000000000003</v>
      </c>
      <c r="L230" s="356">
        <v>29.33</v>
      </c>
      <c r="M230" s="335">
        <v>58.67</v>
      </c>
      <c r="N230" s="335">
        <f t="shared" si="20"/>
        <v>130.67847341688443</v>
      </c>
      <c r="O230" s="335">
        <f t="shared" si="21"/>
        <v>169.37308499152553</v>
      </c>
      <c r="P230" s="335">
        <f t="shared" si="22"/>
        <v>265.21468749999997</v>
      </c>
      <c r="Q230" s="335">
        <f t="shared" si="23"/>
        <v>169.01511442027422</v>
      </c>
      <c r="R230" s="595">
        <v>228</v>
      </c>
    </row>
    <row r="231" spans="1:18">
      <c r="A231" s="607">
        <v>229</v>
      </c>
      <c r="B231" s="799"/>
      <c r="C231" s="333">
        <v>65</v>
      </c>
      <c r="D231" s="334">
        <v>48</v>
      </c>
      <c r="E231" s="335">
        <v>54.48</v>
      </c>
      <c r="F231" s="355" t="s">
        <v>660</v>
      </c>
      <c r="G231" s="334">
        <v>24</v>
      </c>
      <c r="H231" s="335">
        <v>28.2</v>
      </c>
      <c r="I231" s="335">
        <v>117.33</v>
      </c>
      <c r="J231" s="335">
        <v>92.95</v>
      </c>
      <c r="K231" s="335">
        <v>38.47</v>
      </c>
      <c r="L231" s="356">
        <v>29.33</v>
      </c>
      <c r="M231" s="335">
        <v>58.67</v>
      </c>
      <c r="N231" s="335">
        <f t="shared" si="20"/>
        <v>136.72734827198377</v>
      </c>
      <c r="O231" s="335">
        <f t="shared" si="21"/>
        <v>177.41622077380032</v>
      </c>
      <c r="P231" s="335">
        <f t="shared" si="22"/>
        <v>265.07209895833336</v>
      </c>
      <c r="Q231" s="335">
        <f t="shared" si="23"/>
        <v>171.78969954579699</v>
      </c>
      <c r="R231" s="595">
        <v>229</v>
      </c>
    </row>
    <row r="232" spans="1:18">
      <c r="A232" s="607">
        <v>230</v>
      </c>
      <c r="B232" s="799"/>
      <c r="C232" s="333">
        <v>66</v>
      </c>
      <c r="D232" s="334">
        <v>60</v>
      </c>
      <c r="E232" s="335">
        <v>66.849999999999994</v>
      </c>
      <c r="F232" s="355" t="s">
        <v>403</v>
      </c>
      <c r="G232" s="334">
        <v>4</v>
      </c>
      <c r="H232" s="335">
        <v>4.75</v>
      </c>
      <c r="I232" s="335">
        <v>114</v>
      </c>
      <c r="J232" s="335">
        <v>102.83</v>
      </c>
      <c r="K232" s="335">
        <v>35.979999999999997</v>
      </c>
      <c r="L232" s="356">
        <v>28.5</v>
      </c>
      <c r="M232" s="335">
        <v>57</v>
      </c>
      <c r="N232" s="335">
        <f t="shared" ref="N232:N239" si="24">PI()*D232^2/4*I232/1728+2*PI()*G232^2/4*(K232-12)/1728</f>
        <v>186.88083876908414</v>
      </c>
      <c r="O232" s="335">
        <f t="shared" ref="O232:O239" si="25">PI()*E232^2/4*I232/1728+2*PI()*H232^2/4*(K232-12)/1728</f>
        <v>232.04664300334937</v>
      </c>
      <c r="P232" s="335">
        <f t="shared" ref="P232:P295" si="26">42*I232*J232/1728</f>
        <v>284.92479166666664</v>
      </c>
      <c r="Q232" s="335">
        <f t="shared" si="23"/>
        <v>208.03209823441105</v>
      </c>
      <c r="R232" s="595">
        <v>230</v>
      </c>
    </row>
    <row r="233" spans="1:18">
      <c r="A233" s="607">
        <v>231</v>
      </c>
      <c r="B233" s="799"/>
      <c r="C233" s="333">
        <v>67</v>
      </c>
      <c r="D233" s="334">
        <v>60</v>
      </c>
      <c r="E233" s="335">
        <v>66.849999999999994</v>
      </c>
      <c r="F233" s="355" t="s">
        <v>404</v>
      </c>
      <c r="G233" s="334">
        <v>6</v>
      </c>
      <c r="H233" s="335">
        <v>7.05</v>
      </c>
      <c r="I233" s="335">
        <v>114</v>
      </c>
      <c r="J233" s="335">
        <v>103.47</v>
      </c>
      <c r="K233" s="335">
        <v>36.619999999999997</v>
      </c>
      <c r="L233" s="356">
        <v>28.5</v>
      </c>
      <c r="M233" s="335">
        <v>57</v>
      </c>
      <c r="N233" s="335">
        <f t="shared" si="24"/>
        <v>187.33775142284583</v>
      </c>
      <c r="O233" s="335">
        <f t="shared" si="25"/>
        <v>232.66716827534694</v>
      </c>
      <c r="P233" s="335">
        <f t="shared" si="26"/>
        <v>286.698125</v>
      </c>
      <c r="Q233" s="335">
        <f t="shared" si="23"/>
        <v>208.95013411270705</v>
      </c>
      <c r="R233" s="595">
        <v>231</v>
      </c>
    </row>
    <row r="234" spans="1:18">
      <c r="A234" s="607">
        <v>232</v>
      </c>
      <c r="B234" s="799"/>
      <c r="C234" s="333">
        <v>68</v>
      </c>
      <c r="D234" s="334">
        <v>60</v>
      </c>
      <c r="E234" s="335">
        <v>66.849999999999994</v>
      </c>
      <c r="F234" s="355" t="s">
        <v>405</v>
      </c>
      <c r="G234" s="334">
        <v>8</v>
      </c>
      <c r="H234" s="335">
        <v>9.4</v>
      </c>
      <c r="I234" s="335">
        <v>114</v>
      </c>
      <c r="J234" s="335">
        <v>103.77</v>
      </c>
      <c r="K234" s="335">
        <v>36.92</v>
      </c>
      <c r="L234" s="356">
        <v>28.5</v>
      </c>
      <c r="M234" s="335">
        <v>57</v>
      </c>
      <c r="N234" s="335">
        <f t="shared" si="24"/>
        <v>187.98185063888391</v>
      </c>
      <c r="O234" s="335">
        <f t="shared" si="25"/>
        <v>233.55642775548949</v>
      </c>
      <c r="P234" s="335">
        <f t="shared" si="26"/>
        <v>287.52937500000002</v>
      </c>
      <c r="Q234" s="335">
        <f t="shared" si="23"/>
        <v>209.57102953668812</v>
      </c>
      <c r="R234" s="595">
        <v>232</v>
      </c>
    </row>
    <row r="235" spans="1:18">
      <c r="A235" s="607">
        <v>233</v>
      </c>
      <c r="B235" s="799"/>
      <c r="C235" s="333">
        <v>69</v>
      </c>
      <c r="D235" s="334">
        <v>60</v>
      </c>
      <c r="E235" s="335">
        <v>66.849999999999994</v>
      </c>
      <c r="F235" s="355" t="s">
        <v>406</v>
      </c>
      <c r="G235" s="334">
        <v>10</v>
      </c>
      <c r="H235" s="335">
        <v>12</v>
      </c>
      <c r="I235" s="335">
        <v>114</v>
      </c>
      <c r="J235" s="335">
        <v>103.77</v>
      </c>
      <c r="K235" s="335">
        <v>36.92</v>
      </c>
      <c r="L235" s="356">
        <v>28.5</v>
      </c>
      <c r="M235" s="335">
        <v>57</v>
      </c>
      <c r="N235" s="335">
        <f t="shared" si="24"/>
        <v>188.79735573187824</v>
      </c>
      <c r="O235" s="335">
        <f t="shared" si="25"/>
        <v>234.81683618255076</v>
      </c>
      <c r="P235" s="335">
        <f t="shared" si="26"/>
        <v>287.52937500000002</v>
      </c>
      <c r="Q235" s="335">
        <f t="shared" si="23"/>
        <v>209.88237125885794</v>
      </c>
      <c r="R235" s="595">
        <v>233</v>
      </c>
    </row>
    <row r="236" spans="1:18">
      <c r="A236" s="607">
        <v>234</v>
      </c>
      <c r="B236" s="799"/>
      <c r="C236" s="333">
        <v>70</v>
      </c>
      <c r="D236" s="334">
        <v>60</v>
      </c>
      <c r="E236" s="335">
        <v>66.849999999999994</v>
      </c>
      <c r="F236" s="355" t="s">
        <v>407</v>
      </c>
      <c r="G236" s="334">
        <v>12</v>
      </c>
      <c r="H236" s="335">
        <v>14.5</v>
      </c>
      <c r="I236" s="335">
        <v>114</v>
      </c>
      <c r="J236" s="335">
        <v>104.23</v>
      </c>
      <c r="K236" s="335">
        <v>37.380000000000003</v>
      </c>
      <c r="L236" s="356">
        <v>28.5</v>
      </c>
      <c r="M236" s="335">
        <v>57</v>
      </c>
      <c r="N236" s="335">
        <f t="shared" si="24"/>
        <v>189.85429803806514</v>
      </c>
      <c r="O236" s="335">
        <f t="shared" si="25"/>
        <v>236.40550849879381</v>
      </c>
      <c r="P236" s="335">
        <f t="shared" si="26"/>
        <v>288.80395833333336</v>
      </c>
      <c r="Q236" s="335">
        <f t="shared" si="23"/>
        <v>210.81367797188096</v>
      </c>
      <c r="R236" s="595">
        <v>234</v>
      </c>
    </row>
    <row r="237" spans="1:18">
      <c r="A237" s="607">
        <v>235</v>
      </c>
      <c r="B237" s="799"/>
      <c r="C237" s="333">
        <v>71</v>
      </c>
      <c r="D237" s="341">
        <v>60</v>
      </c>
      <c r="E237" s="342">
        <v>66.849999999999994</v>
      </c>
      <c r="F237" s="355" t="s">
        <v>408</v>
      </c>
      <c r="G237" s="334">
        <v>15</v>
      </c>
      <c r="H237" s="335">
        <v>17.5</v>
      </c>
      <c r="I237" s="335">
        <v>114</v>
      </c>
      <c r="J237" s="335">
        <v>102.98</v>
      </c>
      <c r="K237" s="335">
        <v>36.130000000000003</v>
      </c>
      <c r="L237" s="356">
        <v>28.5</v>
      </c>
      <c r="M237" s="335">
        <v>57</v>
      </c>
      <c r="N237" s="335">
        <f t="shared" si="24"/>
        <v>191.46739132845136</v>
      </c>
      <c r="O237" s="335">
        <f t="shared" si="25"/>
        <v>238.2723449371376</v>
      </c>
      <c r="P237" s="335">
        <f t="shared" si="26"/>
        <v>285.34041666666667</v>
      </c>
      <c r="Q237" s="335">
        <f t="shared" si="23"/>
        <v>210.29462002026298</v>
      </c>
      <c r="R237" s="595">
        <v>235</v>
      </c>
    </row>
    <row r="238" spans="1:18">
      <c r="A238" s="607">
        <v>236</v>
      </c>
      <c r="B238" s="799"/>
      <c r="C238" s="333">
        <v>72</v>
      </c>
      <c r="D238" s="334">
        <v>60</v>
      </c>
      <c r="E238" s="335">
        <v>66.849999999999994</v>
      </c>
      <c r="F238" s="355" t="s">
        <v>409</v>
      </c>
      <c r="G238" s="334">
        <v>18</v>
      </c>
      <c r="H238" s="335">
        <v>21.5</v>
      </c>
      <c r="I238" s="335">
        <v>114</v>
      </c>
      <c r="J238" s="335">
        <v>105.37</v>
      </c>
      <c r="K238" s="335">
        <v>38.520000000000003</v>
      </c>
      <c r="L238" s="356">
        <v>28.5</v>
      </c>
      <c r="M238" s="335">
        <v>57</v>
      </c>
      <c r="N238" s="335">
        <f t="shared" si="24"/>
        <v>194.34284854188158</v>
      </c>
      <c r="O238" s="335">
        <f t="shared" si="25"/>
        <v>242.69844310609196</v>
      </c>
      <c r="P238" s="335">
        <f t="shared" si="26"/>
        <v>291.96270833333335</v>
      </c>
      <c r="Q238" s="335">
        <f t="shared" si="23"/>
        <v>214.04855463277815</v>
      </c>
      <c r="R238" s="595">
        <v>236</v>
      </c>
    </row>
    <row r="239" spans="1:18" ht="15.75" thickBot="1">
      <c r="A239" s="607">
        <v>237</v>
      </c>
      <c r="B239" s="818"/>
      <c r="C239" s="345">
        <v>73</v>
      </c>
      <c r="D239" s="346">
        <v>60</v>
      </c>
      <c r="E239" s="347">
        <v>66.849999999999994</v>
      </c>
      <c r="F239" s="358" t="s">
        <v>661</v>
      </c>
      <c r="G239" s="346">
        <v>24</v>
      </c>
      <c r="H239" s="335">
        <v>28.2</v>
      </c>
      <c r="I239" s="347">
        <v>114</v>
      </c>
      <c r="J239" s="347">
        <v>105.32</v>
      </c>
      <c r="K239" s="347">
        <v>38.47</v>
      </c>
      <c r="L239" s="359">
        <v>28.5</v>
      </c>
      <c r="M239" s="347">
        <v>57</v>
      </c>
      <c r="N239" s="335">
        <f t="shared" si="24"/>
        <v>200.39172339698092</v>
      </c>
      <c r="O239" s="335">
        <f t="shared" si="25"/>
        <v>250.68980833213718</v>
      </c>
      <c r="P239" s="335">
        <f t="shared" si="26"/>
        <v>291.82416666666666</v>
      </c>
      <c r="Q239" s="335">
        <f t="shared" si="23"/>
        <v>216.84546673079271</v>
      </c>
      <c r="R239" s="595">
        <v>237</v>
      </c>
    </row>
    <row r="240" spans="1:18" ht="15.75" thickTop="1">
      <c r="A240" s="607">
        <v>238</v>
      </c>
      <c r="B240" s="800" t="s">
        <v>410</v>
      </c>
      <c r="C240" s="597">
        <v>1</v>
      </c>
      <c r="D240" s="351">
        <v>8</v>
      </c>
      <c r="E240" s="352">
        <v>9.4</v>
      </c>
      <c r="F240" s="362" t="s">
        <v>411</v>
      </c>
      <c r="G240" s="351">
        <v>4</v>
      </c>
      <c r="H240" s="352">
        <v>4.75</v>
      </c>
      <c r="I240" s="352">
        <v>171.01</v>
      </c>
      <c r="J240" s="352">
        <v>45.38</v>
      </c>
      <c r="K240" s="352">
        <v>35.979999999999997</v>
      </c>
      <c r="L240" s="354">
        <v>28.5</v>
      </c>
      <c r="M240" s="352">
        <v>57</v>
      </c>
      <c r="N240" s="352">
        <f>PI()*D240^2/4*I240/1728+3*PI()*G240^2/4*(K240-12)/1728</f>
        <v>5.4976416996778044</v>
      </c>
      <c r="O240" s="352">
        <f>PI()*E240^2/4*I240/1728+3*PI()*H240^2/4*(K240-12)/1728</f>
        <v>7.6056312125209393</v>
      </c>
      <c r="P240" s="352">
        <f t="shared" si="26"/>
        <v>188.62165486111113</v>
      </c>
      <c r="Q240" s="352">
        <f t="shared" si="23"/>
        <v>77.904051159113877</v>
      </c>
      <c r="R240" s="595">
        <v>238</v>
      </c>
    </row>
    <row r="241" spans="1:18">
      <c r="A241" s="607">
        <v>239</v>
      </c>
      <c r="B241" s="801"/>
      <c r="C241" s="598">
        <v>2</v>
      </c>
      <c r="D241" s="334">
        <v>8</v>
      </c>
      <c r="E241" s="335">
        <v>9.4</v>
      </c>
      <c r="F241" s="336" t="s">
        <v>412</v>
      </c>
      <c r="G241" s="334">
        <v>6</v>
      </c>
      <c r="H241" s="335">
        <v>7.05</v>
      </c>
      <c r="I241" s="335">
        <v>171.01</v>
      </c>
      <c r="J241" s="335">
        <v>46.02</v>
      </c>
      <c r="K241" s="335">
        <v>36.619999999999997</v>
      </c>
      <c r="L241" s="356">
        <v>28.5</v>
      </c>
      <c r="M241" s="335">
        <v>57</v>
      </c>
      <c r="N241" s="335">
        <f t="shared" ref="N241:N304" si="27">PI()*D241^2/4*I241/1728+3*PI()*G241^2/4*(K241-12)/1728</f>
        <v>6.1830106803203275</v>
      </c>
      <c r="O241" s="335">
        <f t="shared" ref="O241:O304" si="28">PI()*E241^2/4*I241/1728+3*PI()*H241^2/4*(K241-12)/1728</f>
        <v>8.5364191205172535</v>
      </c>
      <c r="P241" s="335">
        <f t="shared" si="26"/>
        <v>191.28181041666667</v>
      </c>
      <c r="Q241" s="335">
        <f t="shared" si="23"/>
        <v>79.281167198780096</v>
      </c>
      <c r="R241" s="595">
        <v>239</v>
      </c>
    </row>
    <row r="242" spans="1:18">
      <c r="A242" s="607">
        <v>240</v>
      </c>
      <c r="B242" s="801"/>
      <c r="C242" s="598">
        <v>3</v>
      </c>
      <c r="D242" s="334">
        <v>8</v>
      </c>
      <c r="E242" s="335">
        <v>9.4</v>
      </c>
      <c r="F242" s="336" t="s">
        <v>413</v>
      </c>
      <c r="G242" s="334">
        <v>8</v>
      </c>
      <c r="H242" s="335">
        <v>9.4</v>
      </c>
      <c r="I242" s="335">
        <v>171.01</v>
      </c>
      <c r="J242" s="335">
        <v>46.32</v>
      </c>
      <c r="K242" s="335">
        <v>36.92</v>
      </c>
      <c r="L242" s="356">
        <v>28.5</v>
      </c>
      <c r="M242" s="335">
        <v>57</v>
      </c>
      <c r="N242" s="335">
        <f t="shared" si="27"/>
        <v>7.1491595043774385</v>
      </c>
      <c r="O242" s="335">
        <f t="shared" si="28"/>
        <v>9.8703083407311034</v>
      </c>
      <c r="P242" s="335">
        <f t="shared" si="26"/>
        <v>192.52875833333331</v>
      </c>
      <c r="Q242" s="335">
        <f t="shared" si="23"/>
        <v>80.21253950141832</v>
      </c>
      <c r="R242" s="595">
        <v>240</v>
      </c>
    </row>
    <row r="243" spans="1:18">
      <c r="A243" s="607">
        <v>241</v>
      </c>
      <c r="B243" s="801"/>
      <c r="C243" s="598">
        <v>4</v>
      </c>
      <c r="D243" s="334">
        <v>10</v>
      </c>
      <c r="E243" s="335">
        <v>12</v>
      </c>
      <c r="F243" s="336" t="s">
        <v>414</v>
      </c>
      <c r="G243" s="334">
        <v>4</v>
      </c>
      <c r="H243" s="335">
        <v>4.75</v>
      </c>
      <c r="I243" s="335">
        <v>170.77</v>
      </c>
      <c r="J243" s="335">
        <v>47.98</v>
      </c>
      <c r="K243" s="335">
        <v>35.979999999999997</v>
      </c>
      <c r="L243" s="356">
        <v>28.46</v>
      </c>
      <c r="M243" s="335">
        <v>56.92</v>
      </c>
      <c r="N243" s="335">
        <f t="shared" si="27"/>
        <v>8.2848779735736251</v>
      </c>
      <c r="O243" s="335">
        <f t="shared" si="28"/>
        <v>11.914611152779223</v>
      </c>
      <c r="P243" s="335">
        <f t="shared" si="26"/>
        <v>199.14865347222221</v>
      </c>
      <c r="Q243" s="335">
        <f t="shared" si="23"/>
        <v>83.178494901350817</v>
      </c>
      <c r="R243" s="595">
        <v>241</v>
      </c>
    </row>
    <row r="244" spans="1:18">
      <c r="A244" s="607">
        <v>242</v>
      </c>
      <c r="B244" s="801"/>
      <c r="C244" s="598">
        <v>5</v>
      </c>
      <c r="D244" s="339">
        <v>10</v>
      </c>
      <c r="E244" s="335">
        <v>12</v>
      </c>
      <c r="F244" s="336" t="s">
        <v>415</v>
      </c>
      <c r="G244" s="334">
        <v>6</v>
      </c>
      <c r="H244" s="335">
        <v>7.05</v>
      </c>
      <c r="I244" s="335">
        <v>170.77</v>
      </c>
      <c r="J244" s="335">
        <v>48.62</v>
      </c>
      <c r="K244" s="335">
        <v>36.619999999999997</v>
      </c>
      <c r="L244" s="356">
        <v>28.46</v>
      </c>
      <c r="M244" s="335">
        <v>56.92</v>
      </c>
      <c r="N244" s="335">
        <f t="shared" si="27"/>
        <v>8.9702469542161474</v>
      </c>
      <c r="O244" s="335">
        <f t="shared" si="28"/>
        <v>12.845399060775538</v>
      </c>
      <c r="P244" s="335">
        <f t="shared" si="26"/>
        <v>201.80507569444441</v>
      </c>
      <c r="Q244" s="335">
        <f t="shared" si="23"/>
        <v>84.554117607683693</v>
      </c>
      <c r="R244" s="595">
        <v>242</v>
      </c>
    </row>
    <row r="245" spans="1:18">
      <c r="A245" s="607">
        <v>243</v>
      </c>
      <c r="B245" s="801"/>
      <c r="C245" s="598">
        <v>6</v>
      </c>
      <c r="D245" s="334">
        <v>10</v>
      </c>
      <c r="E245" s="335">
        <v>12</v>
      </c>
      <c r="F245" s="336" t="s">
        <v>416</v>
      </c>
      <c r="G245" s="334">
        <v>8</v>
      </c>
      <c r="H245" s="335">
        <v>9.4</v>
      </c>
      <c r="I245" s="335">
        <v>170.77</v>
      </c>
      <c r="J245" s="335">
        <v>48.92</v>
      </c>
      <c r="K245" s="335">
        <v>36.92</v>
      </c>
      <c r="L245" s="356">
        <v>28.46</v>
      </c>
      <c r="M245" s="335">
        <v>56.92</v>
      </c>
      <c r="N245" s="335">
        <f t="shared" si="27"/>
        <v>9.9363957782732601</v>
      </c>
      <c r="O245" s="335">
        <f t="shared" si="28"/>
        <v>14.179288280989388</v>
      </c>
      <c r="P245" s="335">
        <f t="shared" si="26"/>
        <v>203.05027361111112</v>
      </c>
      <c r="Q245" s="335">
        <f t="shared" si="23"/>
        <v>85.484789910321965</v>
      </c>
      <c r="R245" s="595">
        <v>243</v>
      </c>
    </row>
    <row r="246" spans="1:18">
      <c r="A246" s="607">
        <v>244</v>
      </c>
      <c r="B246" s="801"/>
      <c r="C246" s="598">
        <v>7</v>
      </c>
      <c r="D246" s="334">
        <v>10</v>
      </c>
      <c r="E246" s="335">
        <v>12</v>
      </c>
      <c r="F246" s="336" t="s">
        <v>417</v>
      </c>
      <c r="G246" s="334">
        <v>10</v>
      </c>
      <c r="H246" s="335">
        <v>12</v>
      </c>
      <c r="I246" s="335">
        <v>170.77</v>
      </c>
      <c r="J246" s="335">
        <v>48.92</v>
      </c>
      <c r="K246" s="335">
        <v>36.92</v>
      </c>
      <c r="L246" s="356">
        <v>28.46</v>
      </c>
      <c r="M246" s="335">
        <v>56.92</v>
      </c>
      <c r="N246" s="335">
        <f t="shared" si="27"/>
        <v>11.159653417764785</v>
      </c>
      <c r="O246" s="335">
        <f t="shared" si="28"/>
        <v>16.06990092158129</v>
      </c>
      <c r="P246" s="335">
        <f t="shared" si="26"/>
        <v>203.05027361111112</v>
      </c>
      <c r="Q246" s="335">
        <f t="shared" si="23"/>
        <v>85.951802493576722</v>
      </c>
      <c r="R246" s="595">
        <v>244</v>
      </c>
    </row>
    <row r="247" spans="1:18">
      <c r="A247" s="607">
        <v>245</v>
      </c>
      <c r="B247" s="801"/>
      <c r="C247" s="598">
        <v>8</v>
      </c>
      <c r="D247" s="334">
        <v>12</v>
      </c>
      <c r="E247" s="335">
        <v>14.58</v>
      </c>
      <c r="F247" s="336" t="s">
        <v>418</v>
      </c>
      <c r="G247" s="334">
        <v>4</v>
      </c>
      <c r="H247" s="335">
        <v>4.75</v>
      </c>
      <c r="I247" s="335">
        <v>171.15</v>
      </c>
      <c r="J247" s="335">
        <v>50.56</v>
      </c>
      <c r="K247" s="335">
        <v>35.979999999999997</v>
      </c>
      <c r="L247" s="356">
        <v>28.53</v>
      </c>
      <c r="M247" s="335">
        <v>57.05</v>
      </c>
      <c r="N247" s="335">
        <f t="shared" si="27"/>
        <v>11.724903748741408</v>
      </c>
      <c r="O247" s="335">
        <f t="shared" si="28"/>
        <v>17.274031347810979</v>
      </c>
      <c r="P247" s="335">
        <f t="shared" si="26"/>
        <v>210.32433333333336</v>
      </c>
      <c r="Q247" s="335">
        <f t="shared" si="23"/>
        <v>88.945024542950364</v>
      </c>
      <c r="R247" s="595">
        <v>245</v>
      </c>
    </row>
    <row r="248" spans="1:18">
      <c r="A248" s="607">
        <v>246</v>
      </c>
      <c r="B248" s="801"/>
      <c r="C248" s="598">
        <v>9</v>
      </c>
      <c r="D248" s="334">
        <v>12</v>
      </c>
      <c r="E248" s="335">
        <v>14.58</v>
      </c>
      <c r="F248" s="336" t="s">
        <v>419</v>
      </c>
      <c r="G248" s="334">
        <v>6</v>
      </c>
      <c r="H248" s="335">
        <v>7.05</v>
      </c>
      <c r="I248" s="335">
        <v>171.15</v>
      </c>
      <c r="J248" s="335">
        <v>51.2</v>
      </c>
      <c r="K248" s="335">
        <v>36.619999999999997</v>
      </c>
      <c r="L248" s="356">
        <v>28.53</v>
      </c>
      <c r="M248" s="335">
        <v>57.05</v>
      </c>
      <c r="N248" s="335">
        <f t="shared" si="27"/>
        <v>12.41027272938393</v>
      </c>
      <c r="O248" s="335">
        <f t="shared" si="28"/>
        <v>18.204819255807294</v>
      </c>
      <c r="P248" s="335">
        <f t="shared" si="26"/>
        <v>212.98666666666668</v>
      </c>
      <c r="Q248" s="335">
        <f t="shared" si="23"/>
        <v>90.323011693727693</v>
      </c>
      <c r="R248" s="595">
        <v>246</v>
      </c>
    </row>
    <row r="249" spans="1:18">
      <c r="A249" s="607">
        <v>247</v>
      </c>
      <c r="B249" s="801"/>
      <c r="C249" s="598">
        <v>10</v>
      </c>
      <c r="D249" s="334">
        <v>12</v>
      </c>
      <c r="E249" s="335">
        <v>14.58</v>
      </c>
      <c r="F249" s="336" t="s">
        <v>420</v>
      </c>
      <c r="G249" s="334">
        <v>8</v>
      </c>
      <c r="H249" s="335">
        <v>9.4</v>
      </c>
      <c r="I249" s="335">
        <v>171.15</v>
      </c>
      <c r="J249" s="335">
        <v>51.5</v>
      </c>
      <c r="K249" s="335">
        <v>36.92</v>
      </c>
      <c r="L249" s="356">
        <v>28.53</v>
      </c>
      <c r="M249" s="335">
        <v>57.05</v>
      </c>
      <c r="N249" s="335">
        <f t="shared" si="27"/>
        <v>13.376421553441041</v>
      </c>
      <c r="O249" s="335">
        <f t="shared" si="28"/>
        <v>19.538708476021142</v>
      </c>
      <c r="P249" s="335">
        <f t="shared" si="26"/>
        <v>214.23463541666666</v>
      </c>
      <c r="Q249" s="335">
        <f t="shared" si="23"/>
        <v>91.254792329699256</v>
      </c>
      <c r="R249" s="595">
        <v>247</v>
      </c>
    </row>
    <row r="250" spans="1:18">
      <c r="A250" s="607">
        <v>248</v>
      </c>
      <c r="B250" s="801"/>
      <c r="C250" s="598">
        <v>11</v>
      </c>
      <c r="D250" s="334">
        <v>12</v>
      </c>
      <c r="E250" s="335">
        <v>14.58</v>
      </c>
      <c r="F250" s="336" t="s">
        <v>421</v>
      </c>
      <c r="G250" s="334">
        <v>10</v>
      </c>
      <c r="H250" s="335">
        <v>12</v>
      </c>
      <c r="I250" s="335">
        <v>171.15</v>
      </c>
      <c r="J250" s="335">
        <v>51.5</v>
      </c>
      <c r="K250" s="335">
        <v>36.92</v>
      </c>
      <c r="L250" s="356">
        <v>28.53</v>
      </c>
      <c r="M250" s="335">
        <v>57.05</v>
      </c>
      <c r="N250" s="335">
        <f t="shared" si="27"/>
        <v>14.599679192932566</v>
      </c>
      <c r="O250" s="335">
        <f t="shared" si="28"/>
        <v>21.429321116613046</v>
      </c>
      <c r="P250" s="335">
        <f t="shared" si="26"/>
        <v>214.23463541666666</v>
      </c>
      <c r="Q250" s="335">
        <f t="shared" si="23"/>
        <v>91.721804912954028</v>
      </c>
      <c r="R250" s="595">
        <v>248</v>
      </c>
    </row>
    <row r="251" spans="1:18">
      <c r="A251" s="607">
        <v>249</v>
      </c>
      <c r="B251" s="801"/>
      <c r="C251" s="598">
        <v>12</v>
      </c>
      <c r="D251" s="334">
        <v>12</v>
      </c>
      <c r="E251" s="335">
        <v>14.58</v>
      </c>
      <c r="F251" s="336" t="s">
        <v>422</v>
      </c>
      <c r="G251" s="334">
        <v>12</v>
      </c>
      <c r="H251" s="335">
        <v>14.58</v>
      </c>
      <c r="I251" s="335">
        <v>171.15</v>
      </c>
      <c r="J251" s="335">
        <v>51.96</v>
      </c>
      <c r="K251" s="335">
        <v>37.380000000000003</v>
      </c>
      <c r="L251" s="356">
        <v>28.53</v>
      </c>
      <c r="M251" s="335">
        <v>57.05</v>
      </c>
      <c r="N251" s="335">
        <f t="shared" si="27"/>
        <v>16.185092652212916</v>
      </c>
      <c r="O251" s="335">
        <f t="shared" si="28"/>
        <v>23.892838400513014</v>
      </c>
      <c r="P251" s="335">
        <f t="shared" si="26"/>
        <v>216.14818750000001</v>
      </c>
      <c r="Q251" s="335">
        <f t="shared" si="23"/>
        <v>93.087232292007712</v>
      </c>
      <c r="R251" s="595">
        <v>249</v>
      </c>
    </row>
    <row r="252" spans="1:18">
      <c r="A252" s="607">
        <v>250</v>
      </c>
      <c r="B252" s="801"/>
      <c r="C252" s="598">
        <v>13</v>
      </c>
      <c r="D252" s="334">
        <v>15</v>
      </c>
      <c r="E252" s="335">
        <v>17.73</v>
      </c>
      <c r="F252" s="336" t="s">
        <v>423</v>
      </c>
      <c r="G252" s="334">
        <v>4</v>
      </c>
      <c r="H252" s="335">
        <v>4.75</v>
      </c>
      <c r="I252" s="335">
        <v>170.32</v>
      </c>
      <c r="J252" s="335">
        <v>53.71</v>
      </c>
      <c r="K252" s="335">
        <v>35.979999999999997</v>
      </c>
      <c r="L252" s="356">
        <v>28.39</v>
      </c>
      <c r="M252" s="335">
        <v>56.77</v>
      </c>
      <c r="N252" s="335">
        <f t="shared" si="27"/>
        <v>17.941002962797459</v>
      </c>
      <c r="O252" s="335">
        <f t="shared" si="28"/>
        <v>25.072623807146943</v>
      </c>
      <c r="P252" s="335">
        <f t="shared" si="26"/>
        <v>222.34448055555555</v>
      </c>
      <c r="Q252" s="335">
        <f t="shared" si="23"/>
        <v>96.849745662160899</v>
      </c>
      <c r="R252" s="595">
        <v>250</v>
      </c>
    </row>
    <row r="253" spans="1:18">
      <c r="A253" s="607">
        <v>251</v>
      </c>
      <c r="B253" s="801"/>
      <c r="C253" s="598">
        <v>14</v>
      </c>
      <c r="D253" s="334">
        <v>15</v>
      </c>
      <c r="E253" s="335">
        <v>17.73</v>
      </c>
      <c r="F253" s="336" t="s">
        <v>424</v>
      </c>
      <c r="G253" s="334">
        <v>6</v>
      </c>
      <c r="H253" s="335">
        <v>7.05</v>
      </c>
      <c r="I253" s="335">
        <v>170.32</v>
      </c>
      <c r="J253" s="335">
        <v>54.35</v>
      </c>
      <c r="K253" s="335">
        <v>36.619999999999997</v>
      </c>
      <c r="L253" s="356">
        <v>28.39</v>
      </c>
      <c r="M253" s="335">
        <v>56.77</v>
      </c>
      <c r="N253" s="335">
        <f t="shared" si="27"/>
        <v>18.626371943439981</v>
      </c>
      <c r="O253" s="335">
        <f t="shared" si="28"/>
        <v>26.003411715143258</v>
      </c>
      <c r="P253" s="335">
        <f t="shared" si="26"/>
        <v>224.99390277777778</v>
      </c>
      <c r="Q253" s="335">
        <f t="shared" si="23"/>
        <v>98.222568368493796</v>
      </c>
      <c r="R253" s="595">
        <v>251</v>
      </c>
    </row>
    <row r="254" spans="1:18">
      <c r="A254" s="607">
        <v>252</v>
      </c>
      <c r="B254" s="801"/>
      <c r="C254" s="598">
        <v>15</v>
      </c>
      <c r="D254" s="334">
        <v>15</v>
      </c>
      <c r="E254" s="335">
        <v>17.73</v>
      </c>
      <c r="F254" s="336" t="s">
        <v>425</v>
      </c>
      <c r="G254" s="334">
        <v>8</v>
      </c>
      <c r="H254" s="335">
        <v>9.4</v>
      </c>
      <c r="I254" s="335">
        <v>170.32</v>
      </c>
      <c r="J254" s="335">
        <v>54.65</v>
      </c>
      <c r="K254" s="335">
        <v>36.92</v>
      </c>
      <c r="L254" s="356">
        <v>28.39</v>
      </c>
      <c r="M254" s="335">
        <v>56.77</v>
      </c>
      <c r="N254" s="335">
        <f t="shared" si="27"/>
        <v>19.592520767497092</v>
      </c>
      <c r="O254" s="335">
        <f t="shared" si="28"/>
        <v>27.337300935357106</v>
      </c>
      <c r="P254" s="335">
        <f t="shared" si="26"/>
        <v>226.23581944444445</v>
      </c>
      <c r="Q254" s="335">
        <f t="shared" si="23"/>
        <v>99.151928171132042</v>
      </c>
      <c r="R254" s="595">
        <v>252</v>
      </c>
    </row>
    <row r="255" spans="1:18">
      <c r="A255" s="607">
        <v>253</v>
      </c>
      <c r="B255" s="801"/>
      <c r="C255" s="598">
        <v>16</v>
      </c>
      <c r="D255" s="334">
        <v>15</v>
      </c>
      <c r="E255" s="335">
        <v>17.73</v>
      </c>
      <c r="F255" s="336" t="s">
        <v>426</v>
      </c>
      <c r="G255" s="334">
        <v>10</v>
      </c>
      <c r="H255" s="335">
        <v>12</v>
      </c>
      <c r="I255" s="335">
        <v>170.32</v>
      </c>
      <c r="J255" s="335">
        <v>54.65</v>
      </c>
      <c r="K255" s="335">
        <v>36.92</v>
      </c>
      <c r="L255" s="356">
        <v>28.39</v>
      </c>
      <c r="M255" s="335">
        <v>56.77</v>
      </c>
      <c r="N255" s="335">
        <f t="shared" si="27"/>
        <v>20.815778406988617</v>
      </c>
      <c r="O255" s="335">
        <f t="shared" si="28"/>
        <v>29.22791357594901</v>
      </c>
      <c r="P255" s="335">
        <f t="shared" si="26"/>
        <v>226.23581944444445</v>
      </c>
      <c r="Q255" s="335">
        <f t="shared" si="23"/>
        <v>99.618940754386799</v>
      </c>
      <c r="R255" s="595">
        <v>253</v>
      </c>
    </row>
    <row r="256" spans="1:18">
      <c r="A256" s="607">
        <v>254</v>
      </c>
      <c r="B256" s="801"/>
      <c r="C256" s="598">
        <v>17</v>
      </c>
      <c r="D256" s="334">
        <v>15</v>
      </c>
      <c r="E256" s="335">
        <v>17.73</v>
      </c>
      <c r="F256" s="336" t="s">
        <v>427</v>
      </c>
      <c r="G256" s="334">
        <v>12</v>
      </c>
      <c r="H256" s="335">
        <v>14.58</v>
      </c>
      <c r="I256" s="335">
        <v>170.32</v>
      </c>
      <c r="J256" s="335">
        <v>55.11</v>
      </c>
      <c r="K256" s="335">
        <v>37.380000000000003</v>
      </c>
      <c r="L256" s="356">
        <v>28.39</v>
      </c>
      <c r="M256" s="335">
        <v>56.77</v>
      </c>
      <c r="N256" s="335">
        <f t="shared" si="27"/>
        <v>22.401191866268967</v>
      </c>
      <c r="O256" s="335">
        <f t="shared" si="28"/>
        <v>31.691430859848978</v>
      </c>
      <c r="P256" s="335">
        <f t="shared" si="26"/>
        <v>228.14009166666668</v>
      </c>
      <c r="Q256" s="335">
        <f t="shared" si="23"/>
        <v>100.98065618899605</v>
      </c>
      <c r="R256" s="595">
        <v>254</v>
      </c>
    </row>
    <row r="257" spans="1:18">
      <c r="A257" s="607">
        <v>255</v>
      </c>
      <c r="B257" s="801"/>
      <c r="C257" s="598">
        <v>18</v>
      </c>
      <c r="D257" s="334">
        <v>15</v>
      </c>
      <c r="E257" s="335">
        <v>17.73</v>
      </c>
      <c r="F257" s="336" t="s">
        <v>428</v>
      </c>
      <c r="G257" s="334">
        <v>15</v>
      </c>
      <c r="H257" s="335">
        <v>17.73</v>
      </c>
      <c r="I257" s="335">
        <v>170.32</v>
      </c>
      <c r="J257" s="335">
        <v>53.86</v>
      </c>
      <c r="K257" s="335">
        <v>36.130000000000003</v>
      </c>
      <c r="L257" s="356">
        <v>28.39</v>
      </c>
      <c r="M257" s="335">
        <v>56.77</v>
      </c>
      <c r="N257" s="335">
        <f t="shared" si="27"/>
        <v>24.820831801848264</v>
      </c>
      <c r="O257" s="335">
        <f t="shared" si="28"/>
        <v>34.677779810325454</v>
      </c>
      <c r="P257" s="335">
        <f t="shared" si="26"/>
        <v>222.96543888888885</v>
      </c>
      <c r="Q257" s="335">
        <f t="shared" si="23"/>
        <v>100.13589543327362</v>
      </c>
      <c r="R257" s="595">
        <v>255</v>
      </c>
    </row>
    <row r="258" spans="1:18">
      <c r="A258" s="607">
        <v>256</v>
      </c>
      <c r="B258" s="801"/>
      <c r="C258" s="598">
        <v>19</v>
      </c>
      <c r="D258" s="334">
        <v>18</v>
      </c>
      <c r="E258" s="335">
        <v>21.45</v>
      </c>
      <c r="F258" s="336" t="s">
        <v>429</v>
      </c>
      <c r="G258" s="334">
        <v>4</v>
      </c>
      <c r="H258" s="335">
        <v>4.75</v>
      </c>
      <c r="I258" s="335">
        <v>171.85</v>
      </c>
      <c r="J258" s="335">
        <v>57.43</v>
      </c>
      <c r="K258" s="335">
        <v>35.979999999999997</v>
      </c>
      <c r="L258" s="356">
        <v>28.64</v>
      </c>
      <c r="M258" s="335">
        <v>57.28</v>
      </c>
      <c r="N258" s="335">
        <f t="shared" si="27"/>
        <v>25.830163889507453</v>
      </c>
      <c r="O258" s="335">
        <f t="shared" si="28"/>
        <v>36.675440273455479</v>
      </c>
      <c r="P258" s="335">
        <f t="shared" si="26"/>
        <v>239.87992534722221</v>
      </c>
      <c r="Q258" s="335">
        <f t="shared" si="23"/>
        <v>107.11195791901415</v>
      </c>
      <c r="R258" s="595">
        <v>256</v>
      </c>
    </row>
    <row r="259" spans="1:18">
      <c r="A259" s="607">
        <v>257</v>
      </c>
      <c r="B259" s="801"/>
      <c r="C259" s="598">
        <v>20</v>
      </c>
      <c r="D259" s="334">
        <v>18</v>
      </c>
      <c r="E259" s="335">
        <v>21.45</v>
      </c>
      <c r="F259" s="336" t="s">
        <v>430</v>
      </c>
      <c r="G259" s="334">
        <v>6</v>
      </c>
      <c r="H259" s="335">
        <v>7.05</v>
      </c>
      <c r="I259" s="335">
        <v>171.85</v>
      </c>
      <c r="J259" s="335">
        <v>58.07</v>
      </c>
      <c r="K259" s="335">
        <v>36.619999999999997</v>
      </c>
      <c r="L259" s="356">
        <v>28.64</v>
      </c>
      <c r="M259" s="335">
        <v>57.28</v>
      </c>
      <c r="N259" s="335">
        <f t="shared" si="27"/>
        <v>26.515532870149976</v>
      </c>
      <c r="O259" s="335">
        <f t="shared" si="28"/>
        <v>37.606228181451797</v>
      </c>
      <c r="P259" s="335">
        <f t="shared" si="26"/>
        <v>242.55314756944443</v>
      </c>
      <c r="Q259" s="335">
        <f t="shared" si="23"/>
        <v>108.49430062534702</v>
      </c>
      <c r="R259" s="595">
        <v>257</v>
      </c>
    </row>
    <row r="260" spans="1:18">
      <c r="A260" s="607">
        <v>258</v>
      </c>
      <c r="B260" s="801"/>
      <c r="C260" s="598">
        <v>21</v>
      </c>
      <c r="D260" s="334">
        <v>18</v>
      </c>
      <c r="E260" s="335">
        <v>21.45</v>
      </c>
      <c r="F260" s="336" t="s">
        <v>431</v>
      </c>
      <c r="G260" s="334">
        <v>8</v>
      </c>
      <c r="H260" s="335">
        <v>9.4</v>
      </c>
      <c r="I260" s="335">
        <v>171.85</v>
      </c>
      <c r="J260" s="335">
        <v>58.37</v>
      </c>
      <c r="K260" s="335">
        <v>36.92</v>
      </c>
      <c r="L260" s="356">
        <v>28.64</v>
      </c>
      <c r="M260" s="335">
        <v>57.28</v>
      </c>
      <c r="N260" s="335">
        <f t="shared" si="27"/>
        <v>27.481681694207087</v>
      </c>
      <c r="O260" s="335">
        <f t="shared" si="28"/>
        <v>38.940117401665646</v>
      </c>
      <c r="P260" s="335">
        <f t="shared" si="26"/>
        <v>243.8062204861111</v>
      </c>
      <c r="Q260" s="335">
        <f t="shared" si="23"/>
        <v>109.42812292798527</v>
      </c>
      <c r="R260" s="595">
        <v>258</v>
      </c>
    </row>
    <row r="261" spans="1:18">
      <c r="A261" s="607">
        <v>259</v>
      </c>
      <c r="B261" s="801"/>
      <c r="C261" s="598">
        <v>22</v>
      </c>
      <c r="D261" s="334">
        <v>18</v>
      </c>
      <c r="E261" s="335">
        <v>21.45</v>
      </c>
      <c r="F261" s="336" t="s">
        <v>432</v>
      </c>
      <c r="G261" s="334">
        <v>10</v>
      </c>
      <c r="H261" s="335">
        <v>12</v>
      </c>
      <c r="I261" s="335">
        <v>171.85</v>
      </c>
      <c r="J261" s="335">
        <v>58.37</v>
      </c>
      <c r="K261" s="335">
        <v>36.92</v>
      </c>
      <c r="L261" s="356">
        <v>28.64</v>
      </c>
      <c r="M261" s="335">
        <v>57.28</v>
      </c>
      <c r="N261" s="335">
        <f t="shared" si="27"/>
        <v>28.704939333698611</v>
      </c>
      <c r="O261" s="335">
        <f t="shared" si="28"/>
        <v>40.830730042257542</v>
      </c>
      <c r="P261" s="335">
        <f t="shared" si="26"/>
        <v>243.8062204861111</v>
      </c>
      <c r="Q261" s="335">
        <f t="shared" si="23"/>
        <v>109.89513551124006</v>
      </c>
      <c r="R261" s="595">
        <v>259</v>
      </c>
    </row>
    <row r="262" spans="1:18">
      <c r="A262" s="607">
        <v>260</v>
      </c>
      <c r="B262" s="801"/>
      <c r="C262" s="598">
        <v>23</v>
      </c>
      <c r="D262" s="334">
        <v>18</v>
      </c>
      <c r="E262" s="335">
        <v>21.45</v>
      </c>
      <c r="F262" s="336" t="s">
        <v>433</v>
      </c>
      <c r="G262" s="334">
        <v>12</v>
      </c>
      <c r="H262" s="335">
        <v>14.58</v>
      </c>
      <c r="I262" s="335">
        <v>171.85</v>
      </c>
      <c r="J262" s="335">
        <v>58.83</v>
      </c>
      <c r="K262" s="335">
        <v>37.380000000000003</v>
      </c>
      <c r="L262" s="356">
        <v>28.64</v>
      </c>
      <c r="M262" s="335">
        <v>57.28</v>
      </c>
      <c r="N262" s="335">
        <f t="shared" si="27"/>
        <v>30.290352792978961</v>
      </c>
      <c r="O262" s="335">
        <f t="shared" si="28"/>
        <v>43.294247326157517</v>
      </c>
      <c r="P262" s="335">
        <f t="shared" si="26"/>
        <v>245.72759895833332</v>
      </c>
      <c r="Q262" s="335">
        <f t="shared" si="23"/>
        <v>111.26369344584928</v>
      </c>
      <c r="R262" s="595">
        <v>260</v>
      </c>
    </row>
    <row r="263" spans="1:18">
      <c r="A263" s="607">
        <v>261</v>
      </c>
      <c r="B263" s="801"/>
      <c r="C263" s="598">
        <v>24</v>
      </c>
      <c r="D263" s="334">
        <v>18</v>
      </c>
      <c r="E263" s="335">
        <v>21.45</v>
      </c>
      <c r="F263" s="336" t="s">
        <v>434</v>
      </c>
      <c r="G263" s="334">
        <v>15</v>
      </c>
      <c r="H263" s="335">
        <v>17.73</v>
      </c>
      <c r="I263" s="335">
        <v>171.85</v>
      </c>
      <c r="J263" s="335">
        <v>57.58</v>
      </c>
      <c r="K263" s="335">
        <v>36.130000000000003</v>
      </c>
      <c r="L263" s="356">
        <v>28.64</v>
      </c>
      <c r="M263" s="335">
        <v>57.28</v>
      </c>
      <c r="N263" s="335">
        <f t="shared" si="27"/>
        <v>32.709992728558262</v>
      </c>
      <c r="O263" s="335">
        <f t="shared" si="28"/>
        <v>46.280596276633993</v>
      </c>
      <c r="P263" s="335">
        <f t="shared" si="26"/>
        <v>240.50646180555555</v>
      </c>
      <c r="Q263" s="335">
        <f t="shared" si="23"/>
        <v>110.40033894012689</v>
      </c>
      <c r="R263" s="595">
        <v>261</v>
      </c>
    </row>
    <row r="264" spans="1:18">
      <c r="A264" s="607">
        <v>262</v>
      </c>
      <c r="B264" s="801"/>
      <c r="C264" s="598">
        <v>25</v>
      </c>
      <c r="D264" s="334">
        <v>18</v>
      </c>
      <c r="E264" s="335">
        <v>21.45</v>
      </c>
      <c r="F264" s="336" t="s">
        <v>435</v>
      </c>
      <c r="G264" s="334">
        <v>18</v>
      </c>
      <c r="H264" s="335">
        <v>21.45</v>
      </c>
      <c r="I264" s="335">
        <v>171.85</v>
      </c>
      <c r="J264" s="335">
        <v>59.97</v>
      </c>
      <c r="K264" s="335">
        <v>38.520000000000003</v>
      </c>
      <c r="L264" s="356">
        <v>28.64</v>
      </c>
      <c r="M264" s="335">
        <v>57.28</v>
      </c>
      <c r="N264" s="335">
        <f t="shared" si="27"/>
        <v>37.023178548703591</v>
      </c>
      <c r="O264" s="335">
        <f t="shared" si="28"/>
        <v>52.575484593224971</v>
      </c>
      <c r="P264" s="335">
        <f t="shared" si="26"/>
        <v>250.48927604166667</v>
      </c>
      <c r="Q264" s="335">
        <f t="shared" si="23"/>
        <v>116.18869512808027</v>
      </c>
      <c r="R264" s="595">
        <v>262</v>
      </c>
    </row>
    <row r="265" spans="1:18">
      <c r="A265" s="607">
        <v>263</v>
      </c>
      <c r="B265" s="801"/>
      <c r="C265" s="598">
        <v>26</v>
      </c>
      <c r="D265" s="334">
        <v>24</v>
      </c>
      <c r="E265" s="335">
        <v>28.2</v>
      </c>
      <c r="F265" s="336" t="s">
        <v>436</v>
      </c>
      <c r="G265" s="334">
        <v>4</v>
      </c>
      <c r="H265" s="335">
        <v>4.75</v>
      </c>
      <c r="I265" s="335">
        <v>169.18</v>
      </c>
      <c r="J265" s="335">
        <v>64.180000000000007</v>
      </c>
      <c r="K265" s="335">
        <v>35.979999999999997</v>
      </c>
      <c r="L265" s="356">
        <v>28.2</v>
      </c>
      <c r="M265" s="335">
        <v>56.39</v>
      </c>
      <c r="N265" s="335">
        <f t="shared" si="27"/>
        <v>44.814382871145405</v>
      </c>
      <c r="O265" s="335">
        <f t="shared" si="28"/>
        <v>61.887306992378392</v>
      </c>
      <c r="P265" s="335">
        <f t="shared" si="26"/>
        <v>263.90905138888894</v>
      </c>
      <c r="Q265" s="335">
        <f t="shared" si="23"/>
        <v>125.62308062974964</v>
      </c>
      <c r="R265" s="595">
        <v>263</v>
      </c>
    </row>
    <row r="266" spans="1:18">
      <c r="A266" s="607">
        <v>264</v>
      </c>
      <c r="B266" s="801"/>
      <c r="C266" s="598">
        <v>27</v>
      </c>
      <c r="D266" s="334">
        <v>24</v>
      </c>
      <c r="E266" s="335">
        <v>28.2</v>
      </c>
      <c r="F266" s="336" t="s">
        <v>437</v>
      </c>
      <c r="G266" s="334">
        <v>6</v>
      </c>
      <c r="H266" s="335">
        <v>7.05</v>
      </c>
      <c r="I266" s="335">
        <v>169.18</v>
      </c>
      <c r="J266" s="335">
        <v>64.819999999999993</v>
      </c>
      <c r="K266" s="335">
        <v>36.619999999999997</v>
      </c>
      <c r="L266" s="356">
        <v>28.2</v>
      </c>
      <c r="M266" s="335">
        <v>56.39</v>
      </c>
      <c r="N266" s="335">
        <f t="shared" si="27"/>
        <v>45.499751851787927</v>
      </c>
      <c r="O266" s="335">
        <f t="shared" si="28"/>
        <v>62.81809490037471</v>
      </c>
      <c r="P266" s="335">
        <f t="shared" si="26"/>
        <v>266.54074027777779</v>
      </c>
      <c r="Q266" s="335">
        <f t="shared" si="23"/>
        <v>126.98881000274915</v>
      </c>
      <c r="R266" s="595">
        <v>264</v>
      </c>
    </row>
    <row r="267" spans="1:18">
      <c r="A267" s="607">
        <v>265</v>
      </c>
      <c r="B267" s="801"/>
      <c r="C267" s="598">
        <v>28</v>
      </c>
      <c r="D267" s="334">
        <v>24</v>
      </c>
      <c r="E267" s="335">
        <v>28.2</v>
      </c>
      <c r="F267" s="336" t="s">
        <v>438</v>
      </c>
      <c r="G267" s="334">
        <v>8</v>
      </c>
      <c r="H267" s="335">
        <v>9.4</v>
      </c>
      <c r="I267" s="335">
        <v>169.18</v>
      </c>
      <c r="J267" s="335">
        <v>65.12</v>
      </c>
      <c r="K267" s="335">
        <v>36.92</v>
      </c>
      <c r="L267" s="356">
        <v>28.2</v>
      </c>
      <c r="M267" s="335">
        <v>56.39</v>
      </c>
      <c r="N267" s="335">
        <f t="shared" si="27"/>
        <v>46.465900675845042</v>
      </c>
      <c r="O267" s="335">
        <f t="shared" si="28"/>
        <v>64.151984120588551</v>
      </c>
      <c r="P267" s="335">
        <f t="shared" si="26"/>
        <v>267.77434444444447</v>
      </c>
      <c r="Q267" s="335">
        <f t="shared" si="23"/>
        <v>127.91484480538742</v>
      </c>
      <c r="R267" s="595">
        <v>265</v>
      </c>
    </row>
    <row r="268" spans="1:18">
      <c r="A268" s="607">
        <v>266</v>
      </c>
      <c r="B268" s="801"/>
      <c r="C268" s="598">
        <v>29</v>
      </c>
      <c r="D268" s="334">
        <v>24</v>
      </c>
      <c r="E268" s="335">
        <v>28.2</v>
      </c>
      <c r="F268" s="336" t="s">
        <v>439</v>
      </c>
      <c r="G268" s="334">
        <v>10</v>
      </c>
      <c r="H268" s="335">
        <v>12</v>
      </c>
      <c r="I268" s="335">
        <v>169.18</v>
      </c>
      <c r="J268" s="335">
        <v>65.12</v>
      </c>
      <c r="K268" s="335">
        <v>36.92</v>
      </c>
      <c r="L268" s="356">
        <v>28.2</v>
      </c>
      <c r="M268" s="335">
        <v>56.39</v>
      </c>
      <c r="N268" s="335">
        <f t="shared" si="27"/>
        <v>47.689158315336563</v>
      </c>
      <c r="O268" s="335">
        <f t="shared" si="28"/>
        <v>66.042596761180462</v>
      </c>
      <c r="P268" s="335">
        <f t="shared" si="26"/>
        <v>267.77434444444447</v>
      </c>
      <c r="Q268" s="335">
        <f t="shared" si="23"/>
        <v>128.38185738864217</v>
      </c>
      <c r="R268" s="595">
        <v>266</v>
      </c>
    </row>
    <row r="269" spans="1:18">
      <c r="A269" s="607">
        <v>267</v>
      </c>
      <c r="B269" s="801"/>
      <c r="C269" s="598">
        <v>30</v>
      </c>
      <c r="D269" s="334">
        <v>24</v>
      </c>
      <c r="E269" s="335">
        <v>28.2</v>
      </c>
      <c r="F269" s="336" t="s">
        <v>440</v>
      </c>
      <c r="G269" s="334">
        <v>12</v>
      </c>
      <c r="H269" s="335">
        <v>14.58</v>
      </c>
      <c r="I269" s="335">
        <v>169.18</v>
      </c>
      <c r="J269" s="335">
        <v>65.58</v>
      </c>
      <c r="K269" s="335">
        <v>37.380000000000003</v>
      </c>
      <c r="L269" s="356">
        <v>28.2</v>
      </c>
      <c r="M269" s="335">
        <v>56.39</v>
      </c>
      <c r="N269" s="335">
        <f t="shared" si="27"/>
        <v>49.274571774616916</v>
      </c>
      <c r="O269" s="335">
        <f t="shared" si="28"/>
        <v>68.506114045080423</v>
      </c>
      <c r="P269" s="335">
        <f t="shared" si="26"/>
        <v>269.66587083333332</v>
      </c>
      <c r="Q269" s="335">
        <f t="shared" si="23"/>
        <v>129.73847448991808</v>
      </c>
      <c r="R269" s="595">
        <v>267</v>
      </c>
    </row>
    <row r="270" spans="1:18">
      <c r="A270" s="607">
        <v>268</v>
      </c>
      <c r="B270" s="801"/>
      <c r="C270" s="598">
        <v>31</v>
      </c>
      <c r="D270" s="334">
        <v>24</v>
      </c>
      <c r="E270" s="335">
        <v>28.2</v>
      </c>
      <c r="F270" s="336" t="s">
        <v>441</v>
      </c>
      <c r="G270" s="334">
        <v>15</v>
      </c>
      <c r="H270" s="335">
        <v>17.73</v>
      </c>
      <c r="I270" s="335">
        <v>169.18</v>
      </c>
      <c r="J270" s="335">
        <v>64.33</v>
      </c>
      <c r="K270" s="335">
        <v>36.130000000000003</v>
      </c>
      <c r="L270" s="356">
        <v>28.2</v>
      </c>
      <c r="M270" s="335">
        <v>56.39</v>
      </c>
      <c r="N270" s="335">
        <f t="shared" si="27"/>
        <v>51.694211710196214</v>
      </c>
      <c r="O270" s="335">
        <f t="shared" si="28"/>
        <v>71.492462995556906</v>
      </c>
      <c r="P270" s="335">
        <f t="shared" si="26"/>
        <v>264.52585347222225</v>
      </c>
      <c r="Q270" s="335">
        <f t="shared" si="23"/>
        <v>128.90756790086238</v>
      </c>
      <c r="R270" s="595">
        <v>268</v>
      </c>
    </row>
    <row r="271" spans="1:18">
      <c r="A271" s="607">
        <v>269</v>
      </c>
      <c r="B271" s="801"/>
      <c r="C271" s="598">
        <v>32</v>
      </c>
      <c r="D271" s="334">
        <v>24</v>
      </c>
      <c r="E271" s="335">
        <v>28.2</v>
      </c>
      <c r="F271" s="336" t="s">
        <v>442</v>
      </c>
      <c r="G271" s="334">
        <v>18</v>
      </c>
      <c r="H271" s="335">
        <v>21.45</v>
      </c>
      <c r="I271" s="335">
        <v>169.18</v>
      </c>
      <c r="J271" s="335">
        <v>66.72</v>
      </c>
      <c r="K271" s="335">
        <v>38.520000000000003</v>
      </c>
      <c r="L271" s="356">
        <v>28.2</v>
      </c>
      <c r="M271" s="335">
        <v>56.39</v>
      </c>
      <c r="N271" s="335">
        <f t="shared" si="27"/>
        <v>56.007397530341542</v>
      </c>
      <c r="O271" s="335">
        <f t="shared" si="28"/>
        <v>77.787351312147891</v>
      </c>
      <c r="P271" s="335">
        <f t="shared" si="26"/>
        <v>274.35356666666667</v>
      </c>
      <c r="Q271" s="335">
        <f t="shared" si="23"/>
        <v>134.63388367214904</v>
      </c>
      <c r="R271" s="595">
        <v>269</v>
      </c>
    </row>
    <row r="272" spans="1:18">
      <c r="A272" s="607">
        <v>270</v>
      </c>
      <c r="B272" s="801"/>
      <c r="C272" s="598">
        <v>33</v>
      </c>
      <c r="D272" s="334">
        <v>24</v>
      </c>
      <c r="E272" s="335">
        <v>28.2</v>
      </c>
      <c r="F272" s="336" t="s">
        <v>662</v>
      </c>
      <c r="G272" s="334">
        <v>24</v>
      </c>
      <c r="H272" s="335">
        <v>28.2</v>
      </c>
      <c r="I272" s="335">
        <v>169.18</v>
      </c>
      <c r="J272" s="335">
        <v>66.67</v>
      </c>
      <c r="K272" s="335">
        <v>38.47</v>
      </c>
      <c r="L272" s="356">
        <v>28.2</v>
      </c>
      <c r="M272" s="335">
        <v>56.39</v>
      </c>
      <c r="N272" s="335">
        <f t="shared" si="27"/>
        <v>65.080709812990563</v>
      </c>
      <c r="O272" s="335">
        <f t="shared" si="28"/>
        <v>89.852054985560088</v>
      </c>
      <c r="P272" s="335">
        <f t="shared" si="26"/>
        <v>274.14796597222227</v>
      </c>
      <c r="Q272" s="335">
        <f t="shared" si="23"/>
        <v>138.79907420765545</v>
      </c>
      <c r="R272" s="595">
        <v>270</v>
      </c>
    </row>
    <row r="273" spans="1:18">
      <c r="A273" s="607">
        <v>271</v>
      </c>
      <c r="B273" s="801"/>
      <c r="C273" s="598">
        <v>34</v>
      </c>
      <c r="D273" s="334">
        <v>30</v>
      </c>
      <c r="E273" s="335">
        <v>34.89</v>
      </c>
      <c r="F273" s="336" t="s">
        <v>443</v>
      </c>
      <c r="G273" s="334">
        <v>4</v>
      </c>
      <c r="H273" s="335">
        <v>4.75</v>
      </c>
      <c r="I273" s="335">
        <v>172</v>
      </c>
      <c r="J273" s="335">
        <v>70.87</v>
      </c>
      <c r="K273" s="335">
        <v>35.979999999999997</v>
      </c>
      <c r="L273" s="356">
        <v>28.67</v>
      </c>
      <c r="M273" s="335">
        <v>57.33</v>
      </c>
      <c r="N273" s="335">
        <f t="shared" si="27"/>
        <v>70.881747914306715</v>
      </c>
      <c r="O273" s="335">
        <f t="shared" si="28"/>
        <v>95.902582381117995</v>
      </c>
      <c r="P273" s="335">
        <f t="shared" si="26"/>
        <v>296.27597222222221</v>
      </c>
      <c r="Q273" s="335">
        <f t="shared" si="23"/>
        <v>151.03110385074839</v>
      </c>
      <c r="R273" s="595">
        <v>271</v>
      </c>
    </row>
    <row r="274" spans="1:18">
      <c r="A274" s="607">
        <v>272</v>
      </c>
      <c r="B274" s="801"/>
      <c r="C274" s="598">
        <v>35</v>
      </c>
      <c r="D274" s="334">
        <v>30</v>
      </c>
      <c r="E274" s="335">
        <v>34.89</v>
      </c>
      <c r="F274" s="336" t="s">
        <v>444</v>
      </c>
      <c r="G274" s="334">
        <v>6</v>
      </c>
      <c r="H274" s="335">
        <v>7.05</v>
      </c>
      <c r="I274" s="335">
        <v>172</v>
      </c>
      <c r="J274" s="335">
        <v>71.510000000000005</v>
      </c>
      <c r="K274" s="335">
        <v>36.619999999999997</v>
      </c>
      <c r="L274" s="356">
        <v>28.67</v>
      </c>
      <c r="M274" s="335">
        <v>57.33</v>
      </c>
      <c r="N274" s="335">
        <f t="shared" si="27"/>
        <v>71.567116894949237</v>
      </c>
      <c r="O274" s="335">
        <f t="shared" si="28"/>
        <v>96.833370289114313</v>
      </c>
      <c r="P274" s="335">
        <f t="shared" si="26"/>
        <v>298.95152777777781</v>
      </c>
      <c r="Q274" s="335">
        <f t="shared" si="23"/>
        <v>152.41437989041464</v>
      </c>
      <c r="R274" s="595">
        <v>272</v>
      </c>
    </row>
    <row r="275" spans="1:18">
      <c r="A275" s="607">
        <v>273</v>
      </c>
      <c r="B275" s="801"/>
      <c r="C275" s="598">
        <v>36</v>
      </c>
      <c r="D275" s="334">
        <v>30</v>
      </c>
      <c r="E275" s="335">
        <v>34.89</v>
      </c>
      <c r="F275" s="336" t="s">
        <v>445</v>
      </c>
      <c r="G275" s="334">
        <v>8</v>
      </c>
      <c r="H275" s="335">
        <v>9.4</v>
      </c>
      <c r="I275" s="335">
        <v>172</v>
      </c>
      <c r="J275" s="335">
        <v>71.81</v>
      </c>
      <c r="K275" s="335">
        <v>36.92</v>
      </c>
      <c r="L275" s="356">
        <v>28.67</v>
      </c>
      <c r="M275" s="335">
        <v>57.33</v>
      </c>
      <c r="N275" s="335">
        <f t="shared" si="27"/>
        <v>72.533265719006351</v>
      </c>
      <c r="O275" s="335">
        <f t="shared" si="28"/>
        <v>98.167259509328161</v>
      </c>
      <c r="P275" s="335">
        <f t="shared" si="26"/>
        <v>300.20569444444442</v>
      </c>
      <c r="Q275" s="335">
        <f t="shared" si="23"/>
        <v>153.34863969305286</v>
      </c>
      <c r="R275" s="595">
        <v>273</v>
      </c>
    </row>
    <row r="276" spans="1:18">
      <c r="A276" s="607">
        <v>274</v>
      </c>
      <c r="B276" s="801"/>
      <c r="C276" s="598">
        <v>37</v>
      </c>
      <c r="D276" s="334">
        <v>30</v>
      </c>
      <c r="E276" s="335">
        <v>34.89</v>
      </c>
      <c r="F276" s="336" t="s">
        <v>446</v>
      </c>
      <c r="G276" s="334">
        <v>10</v>
      </c>
      <c r="H276" s="335">
        <v>12</v>
      </c>
      <c r="I276" s="335">
        <v>172</v>
      </c>
      <c r="J276" s="335">
        <v>71.81</v>
      </c>
      <c r="K276" s="335">
        <v>36.92</v>
      </c>
      <c r="L276" s="356">
        <v>28.67</v>
      </c>
      <c r="M276" s="335">
        <v>57.33</v>
      </c>
      <c r="N276" s="335">
        <f t="shared" si="27"/>
        <v>73.756523358497873</v>
      </c>
      <c r="O276" s="335">
        <f t="shared" si="28"/>
        <v>100.05787214992006</v>
      </c>
      <c r="P276" s="335">
        <f t="shared" si="26"/>
        <v>300.20569444444442</v>
      </c>
      <c r="Q276" s="335">
        <f t="shared" si="23"/>
        <v>153.81565227630762</v>
      </c>
      <c r="R276" s="595">
        <v>274</v>
      </c>
    </row>
    <row r="277" spans="1:18">
      <c r="A277" s="607">
        <v>275</v>
      </c>
      <c r="B277" s="801"/>
      <c r="C277" s="598">
        <v>38</v>
      </c>
      <c r="D277" s="334">
        <v>30</v>
      </c>
      <c r="E277" s="335">
        <v>34.89</v>
      </c>
      <c r="F277" s="336" t="s">
        <v>447</v>
      </c>
      <c r="G277" s="334">
        <v>12</v>
      </c>
      <c r="H277" s="335">
        <v>14.58</v>
      </c>
      <c r="I277" s="335">
        <v>172</v>
      </c>
      <c r="J277" s="335">
        <v>72.27</v>
      </c>
      <c r="K277" s="335">
        <v>37.380000000000003</v>
      </c>
      <c r="L277" s="356">
        <v>28.67</v>
      </c>
      <c r="M277" s="335">
        <v>57.33</v>
      </c>
      <c r="N277" s="335">
        <f t="shared" si="27"/>
        <v>75.341936817778219</v>
      </c>
      <c r="O277" s="335">
        <f t="shared" si="28"/>
        <v>102.52138943382003</v>
      </c>
      <c r="P277" s="335">
        <f t="shared" si="26"/>
        <v>302.12874999999997</v>
      </c>
      <c r="Q277" s="335">
        <f t="shared" si="23"/>
        <v>155.18488104425018</v>
      </c>
      <c r="R277" s="595">
        <v>275</v>
      </c>
    </row>
    <row r="278" spans="1:18">
      <c r="A278" s="607">
        <v>276</v>
      </c>
      <c r="B278" s="801"/>
      <c r="C278" s="598">
        <v>39</v>
      </c>
      <c r="D278" s="334">
        <v>30</v>
      </c>
      <c r="E278" s="335">
        <v>34.89</v>
      </c>
      <c r="F278" s="336" t="s">
        <v>448</v>
      </c>
      <c r="G278" s="334">
        <v>15</v>
      </c>
      <c r="H278" s="335">
        <v>17.73</v>
      </c>
      <c r="I278" s="335">
        <v>172</v>
      </c>
      <c r="J278" s="335">
        <v>71.02</v>
      </c>
      <c r="K278" s="335">
        <v>36.130000000000003</v>
      </c>
      <c r="L278" s="356">
        <v>28.67</v>
      </c>
      <c r="M278" s="335">
        <v>57.33</v>
      </c>
      <c r="N278" s="335">
        <f t="shared" si="27"/>
        <v>77.761576753357517</v>
      </c>
      <c r="O278" s="335">
        <f t="shared" si="28"/>
        <v>105.5077383842965</v>
      </c>
      <c r="P278" s="335">
        <f t="shared" si="26"/>
        <v>296.90305555555557</v>
      </c>
      <c r="Q278" s="335">
        <f t="shared" si="23"/>
        <v>154.31970362186115</v>
      </c>
      <c r="R278" s="595">
        <v>276</v>
      </c>
    </row>
    <row r="279" spans="1:18">
      <c r="A279" s="607">
        <v>277</v>
      </c>
      <c r="B279" s="801"/>
      <c r="C279" s="598">
        <v>40</v>
      </c>
      <c r="D279" s="334">
        <v>30</v>
      </c>
      <c r="E279" s="335">
        <v>34.89</v>
      </c>
      <c r="F279" s="336" t="s">
        <v>449</v>
      </c>
      <c r="G279" s="334">
        <v>18</v>
      </c>
      <c r="H279" s="335">
        <v>21.45</v>
      </c>
      <c r="I279" s="335">
        <v>172</v>
      </c>
      <c r="J279" s="335">
        <v>73.41</v>
      </c>
      <c r="K279" s="335">
        <v>38.520000000000003</v>
      </c>
      <c r="L279" s="356">
        <v>28.67</v>
      </c>
      <c r="M279" s="335">
        <v>57.33</v>
      </c>
      <c r="N279" s="335">
        <f t="shared" si="27"/>
        <v>82.074762573502852</v>
      </c>
      <c r="O279" s="335">
        <f t="shared" si="28"/>
        <v>111.80262670088749</v>
      </c>
      <c r="P279" s="335">
        <f t="shared" si="26"/>
        <v>306.89458333333329</v>
      </c>
      <c r="Q279" s="335">
        <f t="shared" si="23"/>
        <v>160.11154522648118</v>
      </c>
      <c r="R279" s="595">
        <v>277</v>
      </c>
    </row>
    <row r="280" spans="1:18">
      <c r="A280" s="607">
        <v>278</v>
      </c>
      <c r="B280" s="801"/>
      <c r="C280" s="598">
        <v>41</v>
      </c>
      <c r="D280" s="334">
        <v>30</v>
      </c>
      <c r="E280" s="335">
        <v>34.89</v>
      </c>
      <c r="F280" s="336" t="s">
        <v>663</v>
      </c>
      <c r="G280" s="334">
        <v>24</v>
      </c>
      <c r="H280" s="335">
        <v>28.2</v>
      </c>
      <c r="I280" s="335">
        <v>172</v>
      </c>
      <c r="J280" s="335">
        <v>73.36</v>
      </c>
      <c r="K280" s="335">
        <v>38.47</v>
      </c>
      <c r="L280" s="356">
        <v>28.67</v>
      </c>
      <c r="M280" s="335">
        <v>57.33</v>
      </c>
      <c r="N280" s="335">
        <f t="shared" si="27"/>
        <v>91.148074856151865</v>
      </c>
      <c r="O280" s="335">
        <f t="shared" si="28"/>
        <v>123.8673303742997</v>
      </c>
      <c r="P280" s="335">
        <f t="shared" si="26"/>
        <v>306.68555555555554</v>
      </c>
      <c r="Q280" s="335">
        <f t="shared" si="23"/>
        <v>164.2753649286542</v>
      </c>
      <c r="R280" s="595">
        <v>278</v>
      </c>
    </row>
    <row r="281" spans="1:18">
      <c r="A281" s="607">
        <v>279</v>
      </c>
      <c r="B281" s="801"/>
      <c r="C281" s="598">
        <v>42</v>
      </c>
      <c r="D281" s="334">
        <v>36</v>
      </c>
      <c r="E281" s="335">
        <v>40.9</v>
      </c>
      <c r="F281" s="336" t="s">
        <v>450</v>
      </c>
      <c r="G281" s="334">
        <v>4</v>
      </c>
      <c r="H281" s="335">
        <v>4.75</v>
      </c>
      <c r="I281" s="335">
        <v>172</v>
      </c>
      <c r="J281" s="335">
        <v>76.88</v>
      </c>
      <c r="K281" s="335">
        <v>35.979999999999997</v>
      </c>
      <c r="L281" s="356">
        <v>28.67</v>
      </c>
      <c r="M281" s="335">
        <v>57.33</v>
      </c>
      <c r="N281" s="335">
        <f t="shared" si="27"/>
        <v>101.83952552155613</v>
      </c>
      <c r="O281" s="335">
        <f t="shared" si="28"/>
        <v>131.51168008002995</v>
      </c>
      <c r="P281" s="335">
        <f t="shared" si="26"/>
        <v>321.40111111111111</v>
      </c>
      <c r="Q281" s="335">
        <f t="shared" si="23"/>
        <v>177.79529793398859</v>
      </c>
      <c r="R281" s="595">
        <v>279</v>
      </c>
    </row>
    <row r="282" spans="1:18">
      <c r="A282" s="607">
        <v>280</v>
      </c>
      <c r="B282" s="801"/>
      <c r="C282" s="598">
        <v>43</v>
      </c>
      <c r="D282" s="334">
        <v>36</v>
      </c>
      <c r="E282" s="335">
        <v>40.9</v>
      </c>
      <c r="F282" s="336" t="s">
        <v>451</v>
      </c>
      <c r="G282" s="334">
        <v>6</v>
      </c>
      <c r="H282" s="335">
        <v>7.05</v>
      </c>
      <c r="I282" s="335">
        <v>172</v>
      </c>
      <c r="J282" s="335">
        <v>77.52</v>
      </c>
      <c r="K282" s="335">
        <v>36.619999999999997</v>
      </c>
      <c r="L282" s="356">
        <v>28.67</v>
      </c>
      <c r="M282" s="335">
        <v>57.33</v>
      </c>
      <c r="N282" s="335">
        <f t="shared" si="27"/>
        <v>102.52489450219865</v>
      </c>
      <c r="O282" s="335">
        <f t="shared" si="28"/>
        <v>132.44246798802627</v>
      </c>
      <c r="P282" s="335">
        <f t="shared" si="26"/>
        <v>324.07666666666665</v>
      </c>
      <c r="Q282" s="335">
        <f t="shared" si="23"/>
        <v>179.17857397365481</v>
      </c>
      <c r="R282" s="595">
        <v>280</v>
      </c>
    </row>
    <row r="283" spans="1:18">
      <c r="A283" s="607">
        <v>281</v>
      </c>
      <c r="B283" s="801"/>
      <c r="C283" s="598">
        <v>44</v>
      </c>
      <c r="D283" s="334">
        <v>36</v>
      </c>
      <c r="E283" s="335">
        <v>40.9</v>
      </c>
      <c r="F283" s="336" t="s">
        <v>452</v>
      </c>
      <c r="G283" s="334">
        <v>8</v>
      </c>
      <c r="H283" s="335">
        <v>9.4</v>
      </c>
      <c r="I283" s="335">
        <v>172</v>
      </c>
      <c r="J283" s="335">
        <v>77.819999999999993</v>
      </c>
      <c r="K283" s="335">
        <v>36.92</v>
      </c>
      <c r="L283" s="356">
        <v>28.67</v>
      </c>
      <c r="M283" s="335">
        <v>57.33</v>
      </c>
      <c r="N283" s="335">
        <f t="shared" si="27"/>
        <v>103.49104332625576</v>
      </c>
      <c r="O283" s="335">
        <f t="shared" si="28"/>
        <v>133.77635720824011</v>
      </c>
      <c r="P283" s="335">
        <f t="shared" si="26"/>
        <v>325.33083333333332</v>
      </c>
      <c r="Q283" s="335">
        <f t="shared" si="23"/>
        <v>180.11283377629303</v>
      </c>
      <c r="R283" s="595">
        <v>281</v>
      </c>
    </row>
    <row r="284" spans="1:18">
      <c r="A284" s="607">
        <v>282</v>
      </c>
      <c r="B284" s="801"/>
      <c r="C284" s="598">
        <v>45</v>
      </c>
      <c r="D284" s="334">
        <v>36</v>
      </c>
      <c r="E284" s="335">
        <v>40.9</v>
      </c>
      <c r="F284" s="336" t="s">
        <v>453</v>
      </c>
      <c r="G284" s="334">
        <v>10</v>
      </c>
      <c r="H284" s="335">
        <v>12</v>
      </c>
      <c r="I284" s="335">
        <v>172</v>
      </c>
      <c r="J284" s="335">
        <v>77.819999999999993</v>
      </c>
      <c r="K284" s="335">
        <v>36.92</v>
      </c>
      <c r="L284" s="356">
        <v>28.67</v>
      </c>
      <c r="M284" s="335">
        <v>57.33</v>
      </c>
      <c r="N284" s="335">
        <f t="shared" si="27"/>
        <v>104.71430096574728</v>
      </c>
      <c r="O284" s="335">
        <f t="shared" si="28"/>
        <v>135.66696984883203</v>
      </c>
      <c r="P284" s="335">
        <f t="shared" si="26"/>
        <v>325.33083333333332</v>
      </c>
      <c r="Q284" s="335">
        <f t="shared" si="23"/>
        <v>180.57984635954779</v>
      </c>
      <c r="R284" s="595">
        <v>282</v>
      </c>
    </row>
    <row r="285" spans="1:18">
      <c r="A285" s="607">
        <v>283</v>
      </c>
      <c r="B285" s="801"/>
      <c r="C285" s="598">
        <v>46</v>
      </c>
      <c r="D285" s="334">
        <v>36</v>
      </c>
      <c r="E285" s="335">
        <v>40.9</v>
      </c>
      <c r="F285" s="336" t="s">
        <v>454</v>
      </c>
      <c r="G285" s="334">
        <v>12</v>
      </c>
      <c r="H285" s="335">
        <v>14.58</v>
      </c>
      <c r="I285" s="335">
        <v>172</v>
      </c>
      <c r="J285" s="335">
        <v>78.28</v>
      </c>
      <c r="K285" s="335">
        <v>37.380000000000003</v>
      </c>
      <c r="L285" s="356">
        <v>28.67</v>
      </c>
      <c r="M285" s="335">
        <v>57.33</v>
      </c>
      <c r="N285" s="335">
        <f t="shared" si="27"/>
        <v>106.29971442502763</v>
      </c>
      <c r="O285" s="335">
        <f t="shared" si="28"/>
        <v>138.13048713273199</v>
      </c>
      <c r="P285" s="335">
        <f t="shared" si="26"/>
        <v>327.25388888888887</v>
      </c>
      <c r="Q285" s="335">
        <f t="shared" si="23"/>
        <v>181.9490751274904</v>
      </c>
      <c r="R285" s="595">
        <v>283</v>
      </c>
    </row>
    <row r="286" spans="1:18">
      <c r="A286" s="607">
        <v>284</v>
      </c>
      <c r="B286" s="801"/>
      <c r="C286" s="598">
        <v>47</v>
      </c>
      <c r="D286" s="334">
        <v>36</v>
      </c>
      <c r="E286" s="335">
        <v>40.9</v>
      </c>
      <c r="F286" s="336" t="s">
        <v>455</v>
      </c>
      <c r="G286" s="334">
        <v>15</v>
      </c>
      <c r="H286" s="335">
        <v>17.73</v>
      </c>
      <c r="I286" s="335">
        <v>172</v>
      </c>
      <c r="J286" s="335">
        <v>77.03</v>
      </c>
      <c r="K286" s="335">
        <v>36.130000000000003</v>
      </c>
      <c r="L286" s="356">
        <v>28.67</v>
      </c>
      <c r="M286" s="335">
        <v>57.33</v>
      </c>
      <c r="N286" s="335">
        <f t="shared" si="27"/>
        <v>108.71935436060693</v>
      </c>
      <c r="O286" s="335">
        <f t="shared" si="28"/>
        <v>141.11683608320845</v>
      </c>
      <c r="P286" s="335">
        <f t="shared" si="26"/>
        <v>322.02819444444441</v>
      </c>
      <c r="Q286" s="335">
        <f t="shared" si="23"/>
        <v>181.08389770510132</v>
      </c>
      <c r="R286" s="595">
        <v>284</v>
      </c>
    </row>
    <row r="287" spans="1:18">
      <c r="A287" s="607">
        <v>285</v>
      </c>
      <c r="B287" s="801"/>
      <c r="C287" s="598">
        <v>48</v>
      </c>
      <c r="D287" s="334">
        <v>36</v>
      </c>
      <c r="E287" s="335">
        <v>40.9</v>
      </c>
      <c r="F287" s="336" t="s">
        <v>456</v>
      </c>
      <c r="G287" s="334">
        <v>18</v>
      </c>
      <c r="H287" s="335">
        <v>21.45</v>
      </c>
      <c r="I287" s="335">
        <v>172</v>
      </c>
      <c r="J287" s="335">
        <v>79.42</v>
      </c>
      <c r="K287" s="335">
        <v>38.520000000000003</v>
      </c>
      <c r="L287" s="356">
        <v>28.67</v>
      </c>
      <c r="M287" s="335">
        <v>57.33</v>
      </c>
      <c r="N287" s="335">
        <f t="shared" si="27"/>
        <v>113.03254018075226</v>
      </c>
      <c r="O287" s="335">
        <f t="shared" si="28"/>
        <v>147.41172439979945</v>
      </c>
      <c r="P287" s="335">
        <f t="shared" si="26"/>
        <v>332.01972222222219</v>
      </c>
      <c r="Q287" s="335">
        <f t="shared" ref="Q287:Q312" si="29">0.4*(P287-O287)+N287</f>
        <v>186.87573930972135</v>
      </c>
      <c r="R287" s="595">
        <v>285</v>
      </c>
    </row>
    <row r="288" spans="1:18">
      <c r="A288" s="607">
        <v>286</v>
      </c>
      <c r="B288" s="801"/>
      <c r="C288" s="598">
        <v>49</v>
      </c>
      <c r="D288" s="334">
        <v>36</v>
      </c>
      <c r="E288" s="335">
        <v>40.9</v>
      </c>
      <c r="F288" s="336" t="s">
        <v>664</v>
      </c>
      <c r="G288" s="334">
        <v>24</v>
      </c>
      <c r="H288" s="335">
        <v>28.2</v>
      </c>
      <c r="I288" s="335">
        <v>172</v>
      </c>
      <c r="J288" s="335">
        <v>79.37</v>
      </c>
      <c r="K288" s="335">
        <v>38.47</v>
      </c>
      <c r="L288" s="356">
        <v>28.67</v>
      </c>
      <c r="M288" s="335">
        <v>57.33</v>
      </c>
      <c r="N288" s="335">
        <f t="shared" si="27"/>
        <v>122.10585246340128</v>
      </c>
      <c r="O288" s="335">
        <f t="shared" si="28"/>
        <v>159.47642807321165</v>
      </c>
      <c r="P288" s="335">
        <f t="shared" si="26"/>
        <v>331.81069444444444</v>
      </c>
      <c r="Q288" s="335">
        <f t="shared" si="29"/>
        <v>191.0395590118944</v>
      </c>
      <c r="R288" s="595">
        <v>286</v>
      </c>
    </row>
    <row r="289" spans="1:18">
      <c r="A289" s="607">
        <v>287</v>
      </c>
      <c r="B289" s="801"/>
      <c r="C289" s="598">
        <v>50</v>
      </c>
      <c r="D289" s="334">
        <v>42</v>
      </c>
      <c r="E289" s="335">
        <v>47.53</v>
      </c>
      <c r="F289" s="336" t="s">
        <v>457</v>
      </c>
      <c r="G289" s="334">
        <v>4</v>
      </c>
      <c r="H289" s="335">
        <v>4.75</v>
      </c>
      <c r="I289" s="335">
        <v>170.67</v>
      </c>
      <c r="J289" s="335">
        <v>83.51</v>
      </c>
      <c r="K289" s="335">
        <v>35.979999999999997</v>
      </c>
      <c r="L289" s="356">
        <v>28.45</v>
      </c>
      <c r="M289" s="335">
        <v>56.89</v>
      </c>
      <c r="N289" s="335">
        <f t="shared" si="27"/>
        <v>137.35964833505781</v>
      </c>
      <c r="O289" s="335">
        <f t="shared" si="28"/>
        <v>175.98004715591043</v>
      </c>
      <c r="P289" s="335">
        <f t="shared" si="26"/>
        <v>346.41861770833333</v>
      </c>
      <c r="Q289" s="335">
        <f t="shared" si="29"/>
        <v>205.53507655602698</v>
      </c>
      <c r="R289" s="595">
        <v>287</v>
      </c>
    </row>
    <row r="290" spans="1:18">
      <c r="A290" s="607">
        <v>288</v>
      </c>
      <c r="B290" s="801"/>
      <c r="C290" s="598">
        <v>51</v>
      </c>
      <c r="D290" s="334">
        <v>42</v>
      </c>
      <c r="E290" s="335">
        <v>47.53</v>
      </c>
      <c r="F290" s="336" t="s">
        <v>458</v>
      </c>
      <c r="G290" s="334">
        <v>6</v>
      </c>
      <c r="H290" s="335">
        <v>7.05</v>
      </c>
      <c r="I290" s="335">
        <v>170.67</v>
      </c>
      <c r="J290" s="335">
        <v>84.15</v>
      </c>
      <c r="K290" s="335">
        <v>36.619999999999997</v>
      </c>
      <c r="L290" s="356">
        <v>28.45</v>
      </c>
      <c r="M290" s="335">
        <v>56.89</v>
      </c>
      <c r="N290" s="335">
        <f t="shared" si="27"/>
        <v>138.04501731570036</v>
      </c>
      <c r="O290" s="335">
        <f t="shared" si="28"/>
        <v>176.91083506390675</v>
      </c>
      <c r="P290" s="335">
        <f t="shared" si="26"/>
        <v>349.07348437500002</v>
      </c>
      <c r="Q290" s="335">
        <f t="shared" si="29"/>
        <v>206.91007704013768</v>
      </c>
      <c r="R290" s="595">
        <v>288</v>
      </c>
    </row>
    <row r="291" spans="1:18">
      <c r="A291" s="607">
        <v>289</v>
      </c>
      <c r="B291" s="801"/>
      <c r="C291" s="598">
        <v>52</v>
      </c>
      <c r="D291" s="334">
        <v>42</v>
      </c>
      <c r="E291" s="335">
        <v>47.53</v>
      </c>
      <c r="F291" s="336" t="s">
        <v>459</v>
      </c>
      <c r="G291" s="334">
        <v>8</v>
      </c>
      <c r="H291" s="335">
        <v>9.4</v>
      </c>
      <c r="I291" s="335">
        <v>170.67</v>
      </c>
      <c r="J291" s="335">
        <v>84.45</v>
      </c>
      <c r="K291" s="335">
        <v>36.92</v>
      </c>
      <c r="L291" s="356">
        <v>28.45</v>
      </c>
      <c r="M291" s="335">
        <v>56.89</v>
      </c>
      <c r="N291" s="335">
        <f t="shared" si="27"/>
        <v>139.01116613975745</v>
      </c>
      <c r="O291" s="335">
        <f t="shared" si="28"/>
        <v>178.24472428412059</v>
      </c>
      <c r="P291" s="335">
        <f t="shared" si="26"/>
        <v>350.31795312499997</v>
      </c>
      <c r="Q291" s="335">
        <f t="shared" si="29"/>
        <v>207.84045767610922</v>
      </c>
      <c r="R291" s="595">
        <v>289</v>
      </c>
    </row>
    <row r="292" spans="1:18">
      <c r="A292" s="607">
        <v>290</v>
      </c>
      <c r="B292" s="801"/>
      <c r="C292" s="598">
        <v>53</v>
      </c>
      <c r="D292" s="334">
        <v>42</v>
      </c>
      <c r="E292" s="335">
        <v>47.53</v>
      </c>
      <c r="F292" s="336" t="s">
        <v>460</v>
      </c>
      <c r="G292" s="334">
        <v>10</v>
      </c>
      <c r="H292" s="335">
        <v>12</v>
      </c>
      <c r="I292" s="335">
        <v>170.67</v>
      </c>
      <c r="J292" s="335">
        <v>84.45</v>
      </c>
      <c r="K292" s="335">
        <v>36.92</v>
      </c>
      <c r="L292" s="356">
        <v>28.45</v>
      </c>
      <c r="M292" s="335">
        <v>56.89</v>
      </c>
      <c r="N292" s="335">
        <f t="shared" si="27"/>
        <v>140.234423779249</v>
      </c>
      <c r="O292" s="335">
        <f t="shared" si="28"/>
        <v>180.1353369247125</v>
      </c>
      <c r="P292" s="335">
        <f t="shared" si="26"/>
        <v>350.31795312499997</v>
      </c>
      <c r="Q292" s="335">
        <f t="shared" si="29"/>
        <v>208.30747025936398</v>
      </c>
      <c r="R292" s="595">
        <v>290</v>
      </c>
    </row>
    <row r="293" spans="1:18">
      <c r="A293" s="607">
        <v>291</v>
      </c>
      <c r="B293" s="801"/>
      <c r="C293" s="598">
        <v>54</v>
      </c>
      <c r="D293" s="334">
        <v>42</v>
      </c>
      <c r="E293" s="335">
        <v>47.53</v>
      </c>
      <c r="F293" s="336" t="s">
        <v>461</v>
      </c>
      <c r="G293" s="334">
        <v>12</v>
      </c>
      <c r="H293" s="335">
        <v>14.58</v>
      </c>
      <c r="I293" s="335">
        <v>170.67</v>
      </c>
      <c r="J293" s="335">
        <v>84.91</v>
      </c>
      <c r="K293" s="335">
        <v>37.380000000000003</v>
      </c>
      <c r="L293" s="356">
        <v>28.45</v>
      </c>
      <c r="M293" s="335">
        <v>56.89</v>
      </c>
      <c r="N293" s="335">
        <f t="shared" si="27"/>
        <v>141.81983723852935</v>
      </c>
      <c r="O293" s="335">
        <f t="shared" si="28"/>
        <v>182.59885420861247</v>
      </c>
      <c r="P293" s="335">
        <f t="shared" si="26"/>
        <v>352.22613854166661</v>
      </c>
      <c r="Q293" s="335">
        <f t="shared" si="29"/>
        <v>209.670750971751</v>
      </c>
      <c r="R293" s="595">
        <v>291</v>
      </c>
    </row>
    <row r="294" spans="1:18">
      <c r="A294" s="607">
        <v>292</v>
      </c>
      <c r="B294" s="801"/>
      <c r="C294" s="598">
        <v>55</v>
      </c>
      <c r="D294" s="334">
        <v>42</v>
      </c>
      <c r="E294" s="335">
        <v>47.53</v>
      </c>
      <c r="F294" s="336" t="s">
        <v>462</v>
      </c>
      <c r="G294" s="334">
        <v>15</v>
      </c>
      <c r="H294" s="335">
        <v>17.73</v>
      </c>
      <c r="I294" s="335">
        <v>170.67</v>
      </c>
      <c r="J294" s="335">
        <v>83.66</v>
      </c>
      <c r="K294" s="335">
        <v>36.130000000000003</v>
      </c>
      <c r="L294" s="356">
        <v>28.45</v>
      </c>
      <c r="M294" s="335">
        <v>56.89</v>
      </c>
      <c r="N294" s="335">
        <f t="shared" si="27"/>
        <v>144.23947717410863</v>
      </c>
      <c r="O294" s="335">
        <f t="shared" si="28"/>
        <v>185.58520315908893</v>
      </c>
      <c r="P294" s="335">
        <f t="shared" si="26"/>
        <v>347.04085208333333</v>
      </c>
      <c r="Q294" s="335">
        <f t="shared" si="29"/>
        <v>208.82173674380641</v>
      </c>
      <c r="R294" s="595">
        <v>292</v>
      </c>
    </row>
    <row r="295" spans="1:18">
      <c r="A295" s="607">
        <v>293</v>
      </c>
      <c r="B295" s="801"/>
      <c r="C295" s="598">
        <v>56</v>
      </c>
      <c r="D295" s="334">
        <v>42</v>
      </c>
      <c r="E295" s="335">
        <v>47.53</v>
      </c>
      <c r="F295" s="336" t="s">
        <v>463</v>
      </c>
      <c r="G295" s="334">
        <v>18</v>
      </c>
      <c r="H295" s="335">
        <v>21.45</v>
      </c>
      <c r="I295" s="335">
        <v>170.67</v>
      </c>
      <c r="J295" s="335">
        <v>86.05</v>
      </c>
      <c r="K295" s="335">
        <v>38.520000000000003</v>
      </c>
      <c r="L295" s="356">
        <v>28.45</v>
      </c>
      <c r="M295" s="335">
        <v>56.89</v>
      </c>
      <c r="N295" s="335">
        <f t="shared" si="27"/>
        <v>148.55266299425395</v>
      </c>
      <c r="O295" s="335">
        <f t="shared" si="28"/>
        <v>191.88009147567993</v>
      </c>
      <c r="P295" s="335">
        <f t="shared" si="26"/>
        <v>356.95511979166662</v>
      </c>
      <c r="Q295" s="335">
        <f t="shared" si="29"/>
        <v>214.58267432064861</v>
      </c>
      <c r="R295" s="595">
        <v>293</v>
      </c>
    </row>
    <row r="296" spans="1:18">
      <c r="A296" s="607">
        <v>294</v>
      </c>
      <c r="B296" s="801"/>
      <c r="C296" s="598">
        <v>57</v>
      </c>
      <c r="D296" s="334">
        <v>42</v>
      </c>
      <c r="E296" s="335">
        <v>47.53</v>
      </c>
      <c r="F296" s="336" t="s">
        <v>665</v>
      </c>
      <c r="G296" s="334">
        <v>24</v>
      </c>
      <c r="H296" s="335">
        <v>28.2</v>
      </c>
      <c r="I296" s="335">
        <v>170.67</v>
      </c>
      <c r="J296" s="335">
        <v>86</v>
      </c>
      <c r="K296" s="335">
        <v>38.47</v>
      </c>
      <c r="L296" s="356">
        <v>28.45</v>
      </c>
      <c r="M296" s="335">
        <v>56.89</v>
      </c>
      <c r="N296" s="335">
        <f t="shared" si="27"/>
        <v>157.62597527690298</v>
      </c>
      <c r="O296" s="335">
        <f t="shared" si="28"/>
        <v>203.94479514909213</v>
      </c>
      <c r="P296" s="335">
        <f t="shared" ref="P296:P318" si="30">42*I296*J296/1728</f>
        <v>356.74770833333326</v>
      </c>
      <c r="Q296" s="335">
        <f t="shared" si="29"/>
        <v>218.74714055059943</v>
      </c>
      <c r="R296" s="595">
        <v>294</v>
      </c>
    </row>
    <row r="297" spans="1:18">
      <c r="A297" s="607">
        <v>295</v>
      </c>
      <c r="B297" s="801"/>
      <c r="C297" s="598">
        <v>58</v>
      </c>
      <c r="D297" s="334">
        <v>48</v>
      </c>
      <c r="E297" s="335">
        <v>54.48</v>
      </c>
      <c r="F297" s="336" t="s">
        <v>464</v>
      </c>
      <c r="G297" s="334">
        <v>4</v>
      </c>
      <c r="H297" s="335">
        <v>4.75</v>
      </c>
      <c r="I297" s="335">
        <v>170.67</v>
      </c>
      <c r="J297" s="335">
        <v>90.46</v>
      </c>
      <c r="K297" s="335">
        <v>35.979999999999997</v>
      </c>
      <c r="L297" s="356">
        <v>28.45</v>
      </c>
      <c r="M297" s="335">
        <v>56.89</v>
      </c>
      <c r="N297" s="335">
        <f t="shared" si="27"/>
        <v>179.2483685060086</v>
      </c>
      <c r="O297" s="335">
        <f t="shared" si="28"/>
        <v>230.97601936931574</v>
      </c>
      <c r="P297" s="335">
        <f t="shared" si="30"/>
        <v>375.24881041666663</v>
      </c>
      <c r="Q297" s="335">
        <f t="shared" si="29"/>
        <v>236.95748492494897</v>
      </c>
      <c r="R297" s="595">
        <v>295</v>
      </c>
    </row>
    <row r="298" spans="1:18">
      <c r="A298" s="607">
        <v>296</v>
      </c>
      <c r="B298" s="801"/>
      <c r="C298" s="598">
        <v>59</v>
      </c>
      <c r="D298" s="334">
        <v>48</v>
      </c>
      <c r="E298" s="335">
        <v>54.48</v>
      </c>
      <c r="F298" s="336" t="s">
        <v>465</v>
      </c>
      <c r="G298" s="334">
        <v>6</v>
      </c>
      <c r="H298" s="335">
        <v>7.05</v>
      </c>
      <c r="I298" s="335">
        <v>170.67</v>
      </c>
      <c r="J298" s="335">
        <v>91.1</v>
      </c>
      <c r="K298" s="335">
        <v>36.619999999999997</v>
      </c>
      <c r="L298" s="356">
        <v>28.45</v>
      </c>
      <c r="M298" s="335">
        <v>56.89</v>
      </c>
      <c r="N298" s="335">
        <f t="shared" si="27"/>
        <v>179.93373748665113</v>
      </c>
      <c r="O298" s="335">
        <f t="shared" si="28"/>
        <v>231.90680727731205</v>
      </c>
      <c r="P298" s="335">
        <f t="shared" si="30"/>
        <v>377.90367708333326</v>
      </c>
      <c r="Q298" s="335">
        <f t="shared" si="29"/>
        <v>238.33248540905961</v>
      </c>
      <c r="R298" s="595">
        <v>296</v>
      </c>
    </row>
    <row r="299" spans="1:18">
      <c r="A299" s="607">
        <v>297</v>
      </c>
      <c r="B299" s="801"/>
      <c r="C299" s="598">
        <v>60</v>
      </c>
      <c r="D299" s="334">
        <v>48</v>
      </c>
      <c r="E299" s="335">
        <v>54.48</v>
      </c>
      <c r="F299" s="336" t="s">
        <v>466</v>
      </c>
      <c r="G299" s="334">
        <v>8</v>
      </c>
      <c r="H299" s="335">
        <v>9.4</v>
      </c>
      <c r="I299" s="335">
        <v>170.67</v>
      </c>
      <c r="J299" s="335">
        <v>91.4</v>
      </c>
      <c r="K299" s="335">
        <v>36.92</v>
      </c>
      <c r="L299" s="356">
        <v>28.45</v>
      </c>
      <c r="M299" s="335">
        <v>56.89</v>
      </c>
      <c r="N299" s="335">
        <f t="shared" si="27"/>
        <v>180.89988631070824</v>
      </c>
      <c r="O299" s="335">
        <f t="shared" si="28"/>
        <v>233.2406964975259</v>
      </c>
      <c r="P299" s="335">
        <f t="shared" si="30"/>
        <v>379.14814583333333</v>
      </c>
      <c r="Q299" s="335">
        <f t="shared" si="29"/>
        <v>239.26286604503122</v>
      </c>
      <c r="R299" s="595">
        <v>297</v>
      </c>
    </row>
    <row r="300" spans="1:18">
      <c r="A300" s="607">
        <v>298</v>
      </c>
      <c r="B300" s="801"/>
      <c r="C300" s="598">
        <v>61</v>
      </c>
      <c r="D300" s="334">
        <v>48</v>
      </c>
      <c r="E300" s="335">
        <v>54.48</v>
      </c>
      <c r="F300" s="336" t="s">
        <v>467</v>
      </c>
      <c r="G300" s="334">
        <v>10</v>
      </c>
      <c r="H300" s="335">
        <v>12</v>
      </c>
      <c r="I300" s="335">
        <v>170.67</v>
      </c>
      <c r="J300" s="335">
        <v>91.4</v>
      </c>
      <c r="K300" s="335">
        <v>36.92</v>
      </c>
      <c r="L300" s="356">
        <v>28.45</v>
      </c>
      <c r="M300" s="335">
        <v>56.89</v>
      </c>
      <c r="N300" s="335">
        <f t="shared" si="27"/>
        <v>182.12314395019979</v>
      </c>
      <c r="O300" s="335">
        <f t="shared" si="28"/>
        <v>235.13130913811781</v>
      </c>
      <c r="P300" s="335">
        <f t="shared" si="30"/>
        <v>379.14814583333333</v>
      </c>
      <c r="Q300" s="335">
        <f t="shared" si="29"/>
        <v>239.729878628286</v>
      </c>
      <c r="R300" s="595">
        <v>298</v>
      </c>
    </row>
    <row r="301" spans="1:18">
      <c r="A301" s="607">
        <v>299</v>
      </c>
      <c r="B301" s="801"/>
      <c r="C301" s="598">
        <v>62</v>
      </c>
      <c r="D301" s="334">
        <v>48</v>
      </c>
      <c r="E301" s="335">
        <v>54.48</v>
      </c>
      <c r="F301" s="336" t="s">
        <v>468</v>
      </c>
      <c r="G301" s="334">
        <v>12</v>
      </c>
      <c r="H301" s="335">
        <v>14.58</v>
      </c>
      <c r="I301" s="335">
        <v>170.67</v>
      </c>
      <c r="J301" s="335">
        <v>91.86</v>
      </c>
      <c r="K301" s="335">
        <v>37.380000000000003</v>
      </c>
      <c r="L301" s="356">
        <v>28.45</v>
      </c>
      <c r="M301" s="335">
        <v>56.89</v>
      </c>
      <c r="N301" s="335">
        <f t="shared" si="27"/>
        <v>183.70855740948014</v>
      </c>
      <c r="O301" s="335">
        <f t="shared" si="28"/>
        <v>237.59482642201777</v>
      </c>
      <c r="P301" s="335">
        <f t="shared" si="30"/>
        <v>381.05633124999997</v>
      </c>
      <c r="Q301" s="335">
        <f t="shared" si="29"/>
        <v>241.09315934067303</v>
      </c>
      <c r="R301" s="595">
        <v>299</v>
      </c>
    </row>
    <row r="302" spans="1:18">
      <c r="A302" s="607">
        <v>300</v>
      </c>
      <c r="B302" s="801"/>
      <c r="C302" s="598">
        <v>63</v>
      </c>
      <c r="D302" s="334">
        <v>48</v>
      </c>
      <c r="E302" s="335">
        <v>54.48</v>
      </c>
      <c r="F302" s="336" t="s">
        <v>469</v>
      </c>
      <c r="G302" s="334">
        <v>15</v>
      </c>
      <c r="H302" s="335">
        <v>17.73</v>
      </c>
      <c r="I302" s="335">
        <v>170.67</v>
      </c>
      <c r="J302" s="335">
        <v>90.61</v>
      </c>
      <c r="K302" s="335">
        <v>36.130000000000003</v>
      </c>
      <c r="L302" s="356">
        <v>28.45</v>
      </c>
      <c r="M302" s="335">
        <v>56.89</v>
      </c>
      <c r="N302" s="335">
        <f t="shared" si="27"/>
        <v>186.12819734505942</v>
      </c>
      <c r="O302" s="335">
        <f t="shared" si="28"/>
        <v>240.58117537249424</v>
      </c>
      <c r="P302" s="335">
        <f t="shared" si="30"/>
        <v>375.87104479166663</v>
      </c>
      <c r="Q302" s="335">
        <f t="shared" si="29"/>
        <v>240.24414511272838</v>
      </c>
      <c r="R302" s="595">
        <v>300</v>
      </c>
    </row>
    <row r="303" spans="1:18">
      <c r="A303" s="607">
        <v>301</v>
      </c>
      <c r="B303" s="801"/>
      <c r="C303" s="598">
        <v>64</v>
      </c>
      <c r="D303" s="334">
        <v>48</v>
      </c>
      <c r="E303" s="335">
        <v>54.48</v>
      </c>
      <c r="F303" s="336" t="s">
        <v>470</v>
      </c>
      <c r="G303" s="334">
        <v>18</v>
      </c>
      <c r="H303" s="335">
        <v>21.45</v>
      </c>
      <c r="I303" s="335">
        <v>170.67</v>
      </c>
      <c r="J303" s="335">
        <v>93</v>
      </c>
      <c r="K303" s="335">
        <v>38.520000000000003</v>
      </c>
      <c r="L303" s="356">
        <v>28.45</v>
      </c>
      <c r="M303" s="335">
        <v>56.89</v>
      </c>
      <c r="N303" s="335">
        <f t="shared" si="27"/>
        <v>190.44138316520474</v>
      </c>
      <c r="O303" s="335">
        <f t="shared" si="28"/>
        <v>246.87606368908524</v>
      </c>
      <c r="P303" s="335">
        <f t="shared" si="30"/>
        <v>385.78531249999992</v>
      </c>
      <c r="Q303" s="335">
        <f t="shared" si="29"/>
        <v>246.0050826895706</v>
      </c>
      <c r="R303" s="595">
        <v>301</v>
      </c>
    </row>
    <row r="304" spans="1:18">
      <c r="A304" s="607">
        <v>302</v>
      </c>
      <c r="B304" s="801"/>
      <c r="C304" s="598">
        <v>65</v>
      </c>
      <c r="D304" s="334">
        <v>48</v>
      </c>
      <c r="E304" s="335">
        <v>54.48</v>
      </c>
      <c r="F304" s="336" t="s">
        <v>666</v>
      </c>
      <c r="G304" s="334">
        <v>24</v>
      </c>
      <c r="H304" s="335">
        <v>28.2</v>
      </c>
      <c r="I304" s="335">
        <v>170.67</v>
      </c>
      <c r="J304" s="335">
        <v>92.95</v>
      </c>
      <c r="K304" s="335">
        <v>38.47</v>
      </c>
      <c r="L304" s="356">
        <v>28.45</v>
      </c>
      <c r="M304" s="335">
        <v>56.89</v>
      </c>
      <c r="N304" s="335">
        <f t="shared" si="27"/>
        <v>199.51469544785377</v>
      </c>
      <c r="O304" s="335">
        <f t="shared" si="28"/>
        <v>258.94076736249741</v>
      </c>
      <c r="P304" s="335">
        <f t="shared" si="30"/>
        <v>385.57790104166668</v>
      </c>
      <c r="Q304" s="335">
        <f t="shared" si="29"/>
        <v>250.16954891952147</v>
      </c>
      <c r="R304" s="595">
        <v>302</v>
      </c>
    </row>
    <row r="305" spans="1:19">
      <c r="A305" s="607">
        <v>303</v>
      </c>
      <c r="B305" s="801"/>
      <c r="C305" s="598">
        <v>66</v>
      </c>
      <c r="D305" s="334">
        <v>60</v>
      </c>
      <c r="E305" s="335">
        <v>66.849999999999994</v>
      </c>
      <c r="F305" s="336" t="s">
        <v>471</v>
      </c>
      <c r="G305" s="334">
        <v>4</v>
      </c>
      <c r="H305" s="335">
        <v>4.75</v>
      </c>
      <c r="I305" s="335">
        <v>168</v>
      </c>
      <c r="J305" s="335">
        <v>102.83</v>
      </c>
      <c r="K305" s="335">
        <v>35.979999999999997</v>
      </c>
      <c r="L305" s="356">
        <v>28</v>
      </c>
      <c r="M305" s="335">
        <v>56</v>
      </c>
      <c r="N305" s="335">
        <f t="shared" ref="N305:N312" si="31">PI()*D305^2/4*I305/1728+3*PI()*G305^2/4*(K305-12)/1728</f>
        <v>275.41251963239222</v>
      </c>
      <c r="O305" s="335">
        <f t="shared" ref="O305:O312" si="32">PI()*E305^2/4*I305/1728+3*PI()*H305^2/4*(K305-12)/1728</f>
        <v>341.97641672053527</v>
      </c>
      <c r="P305" s="335">
        <f t="shared" si="30"/>
        <v>419.88916666666665</v>
      </c>
      <c r="Q305" s="335">
        <f t="shared" si="29"/>
        <v>306.57761961084475</v>
      </c>
      <c r="R305" s="595">
        <v>303</v>
      </c>
    </row>
    <row r="306" spans="1:19">
      <c r="A306" s="607">
        <v>304</v>
      </c>
      <c r="B306" s="801"/>
      <c r="C306" s="598">
        <v>67</v>
      </c>
      <c r="D306" s="334">
        <v>60</v>
      </c>
      <c r="E306" s="335">
        <v>66.849999999999994</v>
      </c>
      <c r="F306" s="336" t="s">
        <v>472</v>
      </c>
      <c r="G306" s="334">
        <v>6</v>
      </c>
      <c r="H306" s="335">
        <v>7.05</v>
      </c>
      <c r="I306" s="335">
        <v>168</v>
      </c>
      <c r="J306" s="335">
        <v>103.47</v>
      </c>
      <c r="K306" s="335">
        <v>36.619999999999997</v>
      </c>
      <c r="L306" s="356">
        <v>28</v>
      </c>
      <c r="M306" s="335">
        <v>56</v>
      </c>
      <c r="N306" s="335">
        <f t="shared" si="31"/>
        <v>276.09788861303474</v>
      </c>
      <c r="O306" s="335">
        <f t="shared" si="32"/>
        <v>342.90720462853159</v>
      </c>
      <c r="P306" s="335">
        <f t="shared" si="30"/>
        <v>422.5025</v>
      </c>
      <c r="Q306" s="335">
        <f t="shared" si="29"/>
        <v>307.93600676162208</v>
      </c>
      <c r="R306" s="595">
        <v>304</v>
      </c>
    </row>
    <row r="307" spans="1:19">
      <c r="A307" s="607">
        <v>305</v>
      </c>
      <c r="B307" s="801"/>
      <c r="C307" s="598">
        <v>68</v>
      </c>
      <c r="D307" s="334">
        <v>60</v>
      </c>
      <c r="E307" s="335">
        <v>66.849999999999994</v>
      </c>
      <c r="F307" s="336" t="s">
        <v>473</v>
      </c>
      <c r="G307" s="334">
        <v>8</v>
      </c>
      <c r="H307" s="335">
        <v>9.4</v>
      </c>
      <c r="I307" s="335">
        <v>168</v>
      </c>
      <c r="J307" s="335">
        <v>103.77</v>
      </c>
      <c r="K307" s="335">
        <v>36.92</v>
      </c>
      <c r="L307" s="356">
        <v>28</v>
      </c>
      <c r="M307" s="335">
        <v>56</v>
      </c>
      <c r="N307" s="335">
        <f t="shared" si="31"/>
        <v>277.06403743709188</v>
      </c>
      <c r="O307" s="335">
        <f t="shared" si="32"/>
        <v>344.24109384874544</v>
      </c>
      <c r="P307" s="335">
        <f t="shared" si="30"/>
        <v>423.72750000000002</v>
      </c>
      <c r="Q307" s="335">
        <f t="shared" si="29"/>
        <v>308.85859989759371</v>
      </c>
      <c r="R307" s="595">
        <v>305</v>
      </c>
    </row>
    <row r="308" spans="1:19">
      <c r="A308" s="607">
        <v>306</v>
      </c>
      <c r="B308" s="801"/>
      <c r="C308" s="598">
        <v>69</v>
      </c>
      <c r="D308" s="334">
        <v>60</v>
      </c>
      <c r="E308" s="335">
        <v>66.849999999999994</v>
      </c>
      <c r="F308" s="336" t="s">
        <v>474</v>
      </c>
      <c r="G308" s="334">
        <v>10</v>
      </c>
      <c r="H308" s="335">
        <v>12</v>
      </c>
      <c r="I308" s="335">
        <v>168</v>
      </c>
      <c r="J308" s="335">
        <v>103.77</v>
      </c>
      <c r="K308" s="335">
        <v>36.92</v>
      </c>
      <c r="L308" s="356">
        <v>28</v>
      </c>
      <c r="M308" s="335">
        <v>56</v>
      </c>
      <c r="N308" s="335">
        <f t="shared" si="31"/>
        <v>278.2872950765834</v>
      </c>
      <c r="O308" s="335">
        <f t="shared" si="32"/>
        <v>346.13170648933732</v>
      </c>
      <c r="P308" s="335">
        <f t="shared" si="30"/>
        <v>423.72750000000002</v>
      </c>
      <c r="Q308" s="335">
        <f t="shared" si="29"/>
        <v>309.32561248084846</v>
      </c>
      <c r="R308" s="595">
        <v>306</v>
      </c>
    </row>
    <row r="309" spans="1:19">
      <c r="A309" s="607">
        <v>307</v>
      </c>
      <c r="B309" s="801"/>
      <c r="C309" s="598">
        <v>70</v>
      </c>
      <c r="D309" s="334">
        <v>60</v>
      </c>
      <c r="E309" s="335">
        <v>66.849999999999994</v>
      </c>
      <c r="F309" s="336" t="s">
        <v>475</v>
      </c>
      <c r="G309" s="334">
        <v>12</v>
      </c>
      <c r="H309" s="335">
        <v>14.58</v>
      </c>
      <c r="I309" s="335">
        <v>168</v>
      </c>
      <c r="J309" s="335">
        <v>104.23</v>
      </c>
      <c r="K309" s="335">
        <v>37.380000000000003</v>
      </c>
      <c r="L309" s="356">
        <v>28</v>
      </c>
      <c r="M309" s="335">
        <v>56</v>
      </c>
      <c r="N309" s="335">
        <f t="shared" si="31"/>
        <v>279.87270853586375</v>
      </c>
      <c r="O309" s="335">
        <f t="shared" si="32"/>
        <v>348.59522377323731</v>
      </c>
      <c r="P309" s="335">
        <f t="shared" si="30"/>
        <v>425.60583333333335</v>
      </c>
      <c r="Q309" s="335">
        <f t="shared" si="29"/>
        <v>310.67695235990215</v>
      </c>
      <c r="R309" s="595">
        <v>307</v>
      </c>
    </row>
    <row r="310" spans="1:19">
      <c r="A310" s="607">
        <v>308</v>
      </c>
      <c r="B310" s="801"/>
      <c r="C310" s="598">
        <v>71</v>
      </c>
      <c r="D310" s="341">
        <v>60</v>
      </c>
      <c r="E310" s="342">
        <v>66.849999999999994</v>
      </c>
      <c r="F310" s="336" t="s">
        <v>476</v>
      </c>
      <c r="G310" s="334">
        <v>15</v>
      </c>
      <c r="H310" s="335">
        <v>17.73</v>
      </c>
      <c r="I310" s="335">
        <v>168</v>
      </c>
      <c r="J310" s="335">
        <v>102.98</v>
      </c>
      <c r="K310" s="335">
        <v>36.130000000000003</v>
      </c>
      <c r="L310" s="356">
        <v>28</v>
      </c>
      <c r="M310" s="335">
        <v>56</v>
      </c>
      <c r="N310" s="335">
        <f t="shared" si="31"/>
        <v>282.29234847144306</v>
      </c>
      <c r="O310" s="335">
        <f t="shared" si="32"/>
        <v>351.5815727237138</v>
      </c>
      <c r="P310" s="335">
        <f t="shared" si="30"/>
        <v>420.50166666666667</v>
      </c>
      <c r="Q310" s="335">
        <f t="shared" si="29"/>
        <v>309.86038604862421</v>
      </c>
      <c r="R310" s="595">
        <v>308</v>
      </c>
    </row>
    <row r="311" spans="1:19">
      <c r="A311" s="607">
        <v>309</v>
      </c>
      <c r="B311" s="801"/>
      <c r="C311" s="598">
        <v>72</v>
      </c>
      <c r="D311" s="334">
        <v>60</v>
      </c>
      <c r="E311" s="335">
        <v>66.849999999999994</v>
      </c>
      <c r="F311" s="336" t="s">
        <v>477</v>
      </c>
      <c r="G311" s="334">
        <v>18</v>
      </c>
      <c r="H311" s="335">
        <v>21.45</v>
      </c>
      <c r="I311" s="335">
        <v>168</v>
      </c>
      <c r="J311" s="335">
        <v>105.37</v>
      </c>
      <c r="K311" s="335">
        <v>38.520000000000003</v>
      </c>
      <c r="L311" s="356">
        <v>28</v>
      </c>
      <c r="M311" s="335">
        <v>56</v>
      </c>
      <c r="N311" s="335">
        <f t="shared" si="31"/>
        <v>286.60553429158836</v>
      </c>
      <c r="O311" s="335">
        <f t="shared" si="32"/>
        <v>357.87646104030478</v>
      </c>
      <c r="P311" s="335">
        <f t="shared" si="30"/>
        <v>430.26083333333338</v>
      </c>
      <c r="Q311" s="335">
        <f t="shared" si="29"/>
        <v>315.5592832087998</v>
      </c>
      <c r="R311" s="595">
        <v>309</v>
      </c>
    </row>
    <row r="312" spans="1:19" ht="15.75" thickBot="1">
      <c r="A312" s="607">
        <v>310</v>
      </c>
      <c r="B312" s="817"/>
      <c r="C312" s="599">
        <v>73</v>
      </c>
      <c r="D312" s="346">
        <v>60</v>
      </c>
      <c r="E312" s="347">
        <v>66.849999999999994</v>
      </c>
      <c r="F312" s="360" t="s">
        <v>667</v>
      </c>
      <c r="G312" s="346">
        <v>24</v>
      </c>
      <c r="H312" s="335">
        <v>28.2</v>
      </c>
      <c r="I312" s="347">
        <v>168</v>
      </c>
      <c r="J312" s="347">
        <v>105.32</v>
      </c>
      <c r="K312" s="347">
        <v>38.47</v>
      </c>
      <c r="L312" s="359">
        <v>28</v>
      </c>
      <c r="M312" s="347">
        <v>56</v>
      </c>
      <c r="N312" s="335">
        <f t="shared" si="31"/>
        <v>295.67884657423735</v>
      </c>
      <c r="O312" s="335">
        <f t="shared" si="32"/>
        <v>369.94116471371694</v>
      </c>
      <c r="P312" s="335">
        <f t="shared" si="30"/>
        <v>430.05666666666662</v>
      </c>
      <c r="Q312" s="335">
        <f t="shared" si="29"/>
        <v>319.72504735541725</v>
      </c>
      <c r="R312" s="595">
        <v>310</v>
      </c>
    </row>
    <row r="313" spans="1:19" ht="15.75" thickTop="1">
      <c r="A313" s="607">
        <v>311</v>
      </c>
      <c r="B313" s="802" t="s">
        <v>478</v>
      </c>
      <c r="C313" s="361">
        <v>1</v>
      </c>
      <c r="D313" s="351">
        <v>8</v>
      </c>
      <c r="E313" s="363">
        <v>9.4</v>
      </c>
      <c r="F313" s="362" t="s">
        <v>479</v>
      </c>
      <c r="G313" s="351">
        <v>8</v>
      </c>
      <c r="H313" s="352">
        <v>9.4</v>
      </c>
      <c r="I313" s="352">
        <v>45.51</v>
      </c>
      <c r="J313" s="352">
        <v>33.85</v>
      </c>
      <c r="K313" s="352">
        <v>24.45</v>
      </c>
      <c r="L313" s="354">
        <v>36.11</v>
      </c>
      <c r="M313" s="364" t="s">
        <v>275</v>
      </c>
      <c r="N313" s="352">
        <f>PI()*D313^2/4*(J313+L313-12)/1728</f>
        <v>1.6859880574265225</v>
      </c>
      <c r="O313" s="352">
        <f>PI()*E313^2/4*(J313+L313-12)/1728</f>
        <v>2.327717261784493</v>
      </c>
      <c r="P313" s="352">
        <f t="shared" si="30"/>
        <v>37.443036458333331</v>
      </c>
      <c r="Q313" s="352">
        <f>0.4*(P313-O313)+N313</f>
        <v>15.732115736046058</v>
      </c>
      <c r="R313" s="595">
        <v>311</v>
      </c>
    </row>
    <row r="314" spans="1:19">
      <c r="A314" s="607">
        <v>312</v>
      </c>
      <c r="B314" s="803"/>
      <c r="C314" s="333">
        <v>2</v>
      </c>
      <c r="D314" s="334">
        <v>10</v>
      </c>
      <c r="E314" s="337">
        <v>12</v>
      </c>
      <c r="F314" s="336" t="s">
        <v>480</v>
      </c>
      <c r="G314" s="334">
        <v>10</v>
      </c>
      <c r="H314" s="335">
        <v>12</v>
      </c>
      <c r="I314" s="335">
        <v>49.08</v>
      </c>
      <c r="J314" s="335">
        <v>35.229999999999997</v>
      </c>
      <c r="K314" s="335">
        <v>23.23</v>
      </c>
      <c r="L314" s="356">
        <v>37.08</v>
      </c>
      <c r="M314" s="338" t="s">
        <v>275</v>
      </c>
      <c r="N314" s="335">
        <f t="shared" ref="N314:N318" si="33">PI()*D314^2/4*(J314+L314-12)/1728</f>
        <v>2.741166853848386</v>
      </c>
      <c r="O314" s="335">
        <f t="shared" ref="O314:O318" si="34">PI()*E314^2/4*(J314+L314-12)/1728</f>
        <v>3.9472802695416758</v>
      </c>
      <c r="P314" s="335">
        <f t="shared" si="30"/>
        <v>42.02645416666666</v>
      </c>
      <c r="Q314" s="335">
        <f t="shared" ref="Q314:Q318" si="35">0.4*(P314-O314)+N314</f>
        <v>17.972836412698381</v>
      </c>
      <c r="R314" s="595">
        <v>312</v>
      </c>
    </row>
    <row r="315" spans="1:19">
      <c r="A315" s="607">
        <v>313</v>
      </c>
      <c r="B315" s="803"/>
      <c r="C315" s="333">
        <v>3</v>
      </c>
      <c r="D315" s="334">
        <v>12</v>
      </c>
      <c r="E315" s="337">
        <v>14.58</v>
      </c>
      <c r="F315" s="336" t="s">
        <v>481</v>
      </c>
      <c r="G315" s="334">
        <v>12</v>
      </c>
      <c r="H315" s="335">
        <v>14.58</v>
      </c>
      <c r="I315" s="335">
        <v>50.56</v>
      </c>
      <c r="J315" s="335">
        <v>36.799999999999997</v>
      </c>
      <c r="K315" s="335">
        <v>22.22</v>
      </c>
      <c r="L315" s="356">
        <v>35.979999999999997</v>
      </c>
      <c r="M315" s="338" t="s">
        <v>275</v>
      </c>
      <c r="N315" s="335">
        <f t="shared" si="33"/>
        <v>3.9780416976080755</v>
      </c>
      <c r="O315" s="335">
        <f t="shared" si="34"/>
        <v>5.8724846050514818</v>
      </c>
      <c r="P315" s="335">
        <f t="shared" si="30"/>
        <v>45.223111111111109</v>
      </c>
      <c r="Q315" s="335">
        <f t="shared" si="35"/>
        <v>19.718292300031926</v>
      </c>
      <c r="R315" s="595">
        <v>313</v>
      </c>
    </row>
    <row r="316" spans="1:19">
      <c r="A316" s="607">
        <v>314</v>
      </c>
      <c r="B316" s="803"/>
      <c r="C316" s="333">
        <v>4</v>
      </c>
      <c r="D316" s="334">
        <v>15</v>
      </c>
      <c r="E316" s="337">
        <v>17.73</v>
      </c>
      <c r="F316" s="336" t="s">
        <v>482</v>
      </c>
      <c r="G316" s="334">
        <v>15</v>
      </c>
      <c r="H316" s="335">
        <v>17.73</v>
      </c>
      <c r="I316" s="335">
        <v>55.32</v>
      </c>
      <c r="J316" s="335">
        <v>37.25</v>
      </c>
      <c r="K316" s="335">
        <v>19.52</v>
      </c>
      <c r="L316" s="356">
        <v>37.590000000000003</v>
      </c>
      <c r="M316" s="338" t="s">
        <v>275</v>
      </c>
      <c r="N316" s="335">
        <f t="shared" si="33"/>
        <v>6.4263568473822454</v>
      </c>
      <c r="O316" s="335">
        <f t="shared" si="34"/>
        <v>8.9784173840420731</v>
      </c>
      <c r="P316" s="335">
        <f t="shared" si="30"/>
        <v>50.085729166666667</v>
      </c>
      <c r="Q316" s="335">
        <f t="shared" si="35"/>
        <v>22.869281560432082</v>
      </c>
      <c r="R316" s="595">
        <v>314</v>
      </c>
    </row>
    <row r="317" spans="1:19">
      <c r="A317" s="607">
        <v>315</v>
      </c>
      <c r="B317" s="803"/>
      <c r="C317" s="333">
        <v>5</v>
      </c>
      <c r="D317" s="334">
        <v>18</v>
      </c>
      <c r="E317" s="337">
        <v>21.45</v>
      </c>
      <c r="F317" s="336" t="s">
        <v>483</v>
      </c>
      <c r="G317" s="334">
        <v>18</v>
      </c>
      <c r="H317" s="335">
        <v>21.45</v>
      </c>
      <c r="I317" s="335">
        <v>58.13</v>
      </c>
      <c r="J317" s="335">
        <v>40.35</v>
      </c>
      <c r="K317" s="335">
        <v>18.899999999999999</v>
      </c>
      <c r="L317" s="356">
        <v>36.68</v>
      </c>
      <c r="M317" s="338" t="s">
        <v>275</v>
      </c>
      <c r="N317" s="335">
        <f t="shared" si="33"/>
        <v>9.5764579810755102</v>
      </c>
      <c r="O317" s="335">
        <f t="shared" si="34"/>
        <v>13.599235364931467</v>
      </c>
      <c r="P317" s="335">
        <f t="shared" si="30"/>
        <v>57.009786458333338</v>
      </c>
      <c r="Q317" s="335">
        <f t="shared" si="35"/>
        <v>26.94067841843626</v>
      </c>
      <c r="R317" s="595">
        <v>315</v>
      </c>
    </row>
    <row r="318" spans="1:19" ht="15.75" thickBot="1">
      <c r="A318" s="607">
        <v>316</v>
      </c>
      <c r="B318" s="804"/>
      <c r="C318" s="345">
        <v>6</v>
      </c>
      <c r="D318" s="346">
        <v>24</v>
      </c>
      <c r="E318" s="335">
        <v>28.2</v>
      </c>
      <c r="F318" s="360" t="s">
        <v>668</v>
      </c>
      <c r="G318" s="346">
        <v>24</v>
      </c>
      <c r="H318" s="335">
        <v>28.2</v>
      </c>
      <c r="I318" s="347">
        <v>68.31</v>
      </c>
      <c r="J318" s="347">
        <v>45.58</v>
      </c>
      <c r="K318" s="347">
        <v>17.38</v>
      </c>
      <c r="L318" s="359">
        <v>40.11</v>
      </c>
      <c r="M318" s="338" t="s">
        <v>275</v>
      </c>
      <c r="N318" s="347">
        <f t="shared" si="33"/>
        <v>19.291996886919318</v>
      </c>
      <c r="O318" s="347">
        <f t="shared" si="34"/>
        <v>26.635013202002987</v>
      </c>
      <c r="P318" s="347">
        <f t="shared" si="30"/>
        <v>75.677043749999996</v>
      </c>
      <c r="Q318" s="347">
        <f t="shared" si="35"/>
        <v>38.908809106118127</v>
      </c>
      <c r="R318" s="595">
        <v>316</v>
      </c>
    </row>
    <row r="319" spans="1:19" ht="15" customHeight="1" thickTop="1">
      <c r="A319" s="607">
        <v>317</v>
      </c>
      <c r="B319" s="800" t="s">
        <v>485</v>
      </c>
      <c r="C319" s="597">
        <v>1</v>
      </c>
      <c r="D319" s="351">
        <v>8</v>
      </c>
      <c r="E319" s="363">
        <v>9.4</v>
      </c>
      <c r="F319" s="362" t="s">
        <v>486</v>
      </c>
      <c r="G319" s="351">
        <v>4</v>
      </c>
      <c r="H319" s="352">
        <v>4.75</v>
      </c>
      <c r="I319" s="352">
        <v>86.48</v>
      </c>
      <c r="J319" s="352">
        <v>45.38</v>
      </c>
      <c r="K319" s="352">
        <v>35.979999999999997</v>
      </c>
      <c r="L319" s="354">
        <v>43.24</v>
      </c>
      <c r="M319" s="364" t="s">
        <v>275</v>
      </c>
      <c r="N319" s="352">
        <f>PI()*D319^2/4*I319/1728+PI()*G319^2/4*(K319-12)/1728</f>
        <v>2.6899887096362605</v>
      </c>
      <c r="O319" s="352">
        <f t="shared" ref="O319:O382" si="36">PI()*E319^2/4*I319/1728+PI()*H319^2/4*(K319-12)/1728</f>
        <v>3.7190155425426519</v>
      </c>
      <c r="P319" s="352">
        <f>66*I319*J319/1728</f>
        <v>149.89266111111112</v>
      </c>
      <c r="Q319" s="352">
        <f>0.4*(P319-O319)+N319</f>
        <v>61.159446937063656</v>
      </c>
      <c r="R319" s="595">
        <v>317</v>
      </c>
      <c r="S319" s="370"/>
    </row>
    <row r="320" spans="1:19" ht="15" customHeight="1">
      <c r="A320" s="607">
        <v>318</v>
      </c>
      <c r="B320" s="801"/>
      <c r="C320" s="598">
        <v>2</v>
      </c>
      <c r="D320" s="365">
        <v>8</v>
      </c>
      <c r="E320" s="337">
        <v>9.4</v>
      </c>
      <c r="F320" s="336" t="s">
        <v>487</v>
      </c>
      <c r="G320" s="334">
        <v>6</v>
      </c>
      <c r="H320" s="335">
        <v>7.05</v>
      </c>
      <c r="I320" s="335">
        <v>86.48</v>
      </c>
      <c r="J320" s="335">
        <v>46.02</v>
      </c>
      <c r="K320" s="335">
        <v>36.619999999999997</v>
      </c>
      <c r="L320" s="356">
        <v>43.24</v>
      </c>
      <c r="M320" s="338" t="s">
        <v>275</v>
      </c>
      <c r="N320" s="335">
        <f t="shared" ref="N320:N383" si="37">PI()*D320^2/4*I320/1728+PI()*G320^2/4*(K320-12)/1728</f>
        <v>2.9184450365171015</v>
      </c>
      <c r="O320" s="335">
        <f t="shared" si="36"/>
        <v>4.0292781785414231</v>
      </c>
      <c r="P320" s="335">
        <f t="shared" ref="P320:P383" si="38">66*I320*J320/1728</f>
        <v>152.0066166666667</v>
      </c>
      <c r="Q320" s="335">
        <f t="shared" ref="Q320:Q383" si="39">0.4*(P320-O320)+N320</f>
        <v>62.109380431767207</v>
      </c>
      <c r="R320" s="595">
        <v>318</v>
      </c>
      <c r="S320" s="370"/>
    </row>
    <row r="321" spans="1:19" ht="15" customHeight="1">
      <c r="A321" s="607">
        <v>319</v>
      </c>
      <c r="B321" s="801"/>
      <c r="C321" s="598">
        <v>3</v>
      </c>
      <c r="D321" s="365">
        <v>8</v>
      </c>
      <c r="E321" s="337">
        <v>9.4</v>
      </c>
      <c r="F321" s="336" t="s">
        <v>488</v>
      </c>
      <c r="G321" s="334">
        <v>8</v>
      </c>
      <c r="H321" s="335">
        <v>9.4</v>
      </c>
      <c r="I321" s="335">
        <v>86.48</v>
      </c>
      <c r="J321" s="335">
        <v>46.32</v>
      </c>
      <c r="K321" s="335">
        <v>36.92</v>
      </c>
      <c r="L321" s="356">
        <v>43.24</v>
      </c>
      <c r="M321" s="338" t="s">
        <v>275</v>
      </c>
      <c r="N321" s="335">
        <f t="shared" si="37"/>
        <v>3.2404946445361387</v>
      </c>
      <c r="O321" s="335">
        <f t="shared" si="36"/>
        <v>4.4739079186127064</v>
      </c>
      <c r="P321" s="335">
        <f t="shared" si="38"/>
        <v>152.99753333333334</v>
      </c>
      <c r="Q321" s="335">
        <f t="shared" si="39"/>
        <v>62.649944810424401</v>
      </c>
      <c r="R321" s="595">
        <v>319</v>
      </c>
      <c r="S321" s="370"/>
    </row>
    <row r="322" spans="1:19" ht="15" customHeight="1">
      <c r="A322" s="607">
        <v>320</v>
      </c>
      <c r="B322" s="801"/>
      <c r="C322" s="598">
        <v>4</v>
      </c>
      <c r="D322" s="334">
        <v>10</v>
      </c>
      <c r="E322" s="337">
        <v>12</v>
      </c>
      <c r="F322" s="336" t="s">
        <v>489</v>
      </c>
      <c r="G322" s="334">
        <v>4</v>
      </c>
      <c r="H322" s="335">
        <v>4.75</v>
      </c>
      <c r="I322" s="335">
        <v>86.15</v>
      </c>
      <c r="J322" s="335">
        <v>47.98</v>
      </c>
      <c r="K322" s="335">
        <v>35.979999999999997</v>
      </c>
      <c r="L322" s="356">
        <v>43.08</v>
      </c>
      <c r="M322" s="338" t="s">
        <v>275</v>
      </c>
      <c r="N322" s="335">
        <f t="shared" si="37"/>
        <v>4.0900154774313373</v>
      </c>
      <c r="O322" s="335">
        <f t="shared" si="36"/>
        <v>5.8844179111121937</v>
      </c>
      <c r="P322" s="335">
        <f t="shared" si="38"/>
        <v>157.8758576388889</v>
      </c>
      <c r="Q322" s="335">
        <f t="shared" si="39"/>
        <v>64.886591368542028</v>
      </c>
      <c r="R322" s="595">
        <v>320</v>
      </c>
      <c r="S322" s="370"/>
    </row>
    <row r="323" spans="1:19" ht="15" customHeight="1">
      <c r="A323" s="607">
        <v>321</v>
      </c>
      <c r="B323" s="801"/>
      <c r="C323" s="598">
        <v>5</v>
      </c>
      <c r="D323" s="365">
        <v>10</v>
      </c>
      <c r="E323" s="337">
        <v>12</v>
      </c>
      <c r="F323" s="336" t="s">
        <v>490</v>
      </c>
      <c r="G323" s="334">
        <v>6</v>
      </c>
      <c r="H323" s="335">
        <v>7.05</v>
      </c>
      <c r="I323" s="335">
        <v>86.15</v>
      </c>
      <c r="J323" s="335">
        <v>48.62</v>
      </c>
      <c r="K323" s="335">
        <v>36.619999999999997</v>
      </c>
      <c r="L323" s="356">
        <v>43.08</v>
      </c>
      <c r="M323" s="338" t="s">
        <v>275</v>
      </c>
      <c r="N323" s="335">
        <f t="shared" si="37"/>
        <v>4.3184718043121784</v>
      </c>
      <c r="O323" s="335">
        <f t="shared" si="36"/>
        <v>6.1946805471109645</v>
      </c>
      <c r="P323" s="335">
        <f t="shared" si="38"/>
        <v>159.98174652777777</v>
      </c>
      <c r="Q323" s="335">
        <f t="shared" si="39"/>
        <v>65.833298196578895</v>
      </c>
      <c r="R323" s="595">
        <v>321</v>
      </c>
      <c r="S323" s="370"/>
    </row>
    <row r="324" spans="1:19" ht="15" customHeight="1">
      <c r="A324" s="607">
        <v>322</v>
      </c>
      <c r="B324" s="801"/>
      <c r="C324" s="598">
        <v>6</v>
      </c>
      <c r="D324" s="365">
        <v>10</v>
      </c>
      <c r="E324" s="337">
        <v>12</v>
      </c>
      <c r="F324" s="336" t="s">
        <v>491</v>
      </c>
      <c r="G324" s="334">
        <v>8</v>
      </c>
      <c r="H324" s="335">
        <v>9.4</v>
      </c>
      <c r="I324" s="335">
        <v>86.15</v>
      </c>
      <c r="J324" s="335">
        <v>48.92</v>
      </c>
      <c r="K324" s="335">
        <v>36.92</v>
      </c>
      <c r="L324" s="356">
        <v>43.08</v>
      </c>
      <c r="M324" s="338" t="s">
        <v>275</v>
      </c>
      <c r="N324" s="335">
        <f t="shared" si="37"/>
        <v>4.640521412331216</v>
      </c>
      <c r="O324" s="335">
        <f t="shared" si="36"/>
        <v>6.6393102871822478</v>
      </c>
      <c r="P324" s="335">
        <f t="shared" si="38"/>
        <v>160.96888194444449</v>
      </c>
      <c r="Q324" s="335">
        <f t="shared" si="39"/>
        <v>66.372350075236113</v>
      </c>
      <c r="R324" s="595">
        <v>322</v>
      </c>
      <c r="S324" s="370"/>
    </row>
    <row r="325" spans="1:19" ht="15" customHeight="1">
      <c r="A325" s="607">
        <v>323</v>
      </c>
      <c r="B325" s="801"/>
      <c r="C325" s="598">
        <v>7</v>
      </c>
      <c r="D325" s="365">
        <v>10</v>
      </c>
      <c r="E325" s="337">
        <v>12</v>
      </c>
      <c r="F325" s="336" t="s">
        <v>492</v>
      </c>
      <c r="G325" s="334">
        <v>10</v>
      </c>
      <c r="H325" s="335">
        <v>12</v>
      </c>
      <c r="I325" s="335">
        <v>86.15</v>
      </c>
      <c r="J325" s="335">
        <v>48.92</v>
      </c>
      <c r="K325" s="335">
        <v>36.92</v>
      </c>
      <c r="L325" s="356">
        <v>43.08</v>
      </c>
      <c r="M325" s="338" t="s">
        <v>275</v>
      </c>
      <c r="N325" s="335">
        <f t="shared" si="37"/>
        <v>5.0482739588283909</v>
      </c>
      <c r="O325" s="335">
        <f t="shared" si="36"/>
        <v>7.2695145007128819</v>
      </c>
      <c r="P325" s="335">
        <f t="shared" si="38"/>
        <v>160.96888194444449</v>
      </c>
      <c r="Q325" s="335">
        <f t="shared" si="39"/>
        <v>66.528020936321042</v>
      </c>
      <c r="R325" s="595">
        <v>323</v>
      </c>
      <c r="S325" s="370"/>
    </row>
    <row r="326" spans="1:19" ht="15" customHeight="1">
      <c r="A326" s="607">
        <v>324</v>
      </c>
      <c r="B326" s="801"/>
      <c r="C326" s="598">
        <v>8</v>
      </c>
      <c r="D326" s="334">
        <v>12</v>
      </c>
      <c r="E326" s="337">
        <v>14.58</v>
      </c>
      <c r="F326" s="336" t="s">
        <v>493</v>
      </c>
      <c r="G326" s="334">
        <v>4</v>
      </c>
      <c r="H326" s="335">
        <v>4.75</v>
      </c>
      <c r="I326" s="335">
        <v>86.56</v>
      </c>
      <c r="J326" s="335">
        <v>50.56</v>
      </c>
      <c r="K326" s="335">
        <v>35.979999999999997</v>
      </c>
      <c r="L326" s="356">
        <v>43.28</v>
      </c>
      <c r="M326" s="338" t="s">
        <v>275</v>
      </c>
      <c r="N326" s="335">
        <f t="shared" si="37"/>
        <v>5.8397262330686939</v>
      </c>
      <c r="O326" s="335">
        <f t="shared" si="36"/>
        <v>8.6092282955202322</v>
      </c>
      <c r="P326" s="335">
        <f t="shared" si="38"/>
        <v>167.1569777777778</v>
      </c>
      <c r="Q326" s="335">
        <f t="shared" si="39"/>
        <v>69.258826025971715</v>
      </c>
      <c r="R326" s="595">
        <v>324</v>
      </c>
      <c r="S326" s="370"/>
    </row>
    <row r="327" spans="1:19" ht="15" customHeight="1">
      <c r="A327" s="607">
        <v>325</v>
      </c>
      <c r="B327" s="801"/>
      <c r="C327" s="598">
        <v>9</v>
      </c>
      <c r="D327" s="365">
        <v>12</v>
      </c>
      <c r="E327" s="337">
        <v>14.58</v>
      </c>
      <c r="F327" s="336" t="s">
        <v>494</v>
      </c>
      <c r="G327" s="334">
        <v>6</v>
      </c>
      <c r="H327" s="335">
        <v>7.05</v>
      </c>
      <c r="I327" s="335">
        <v>86.56</v>
      </c>
      <c r="J327" s="335">
        <v>51.2</v>
      </c>
      <c r="K327" s="335">
        <v>36.619999999999997</v>
      </c>
      <c r="L327" s="356">
        <v>43.28</v>
      </c>
      <c r="M327" s="338" t="s">
        <v>275</v>
      </c>
      <c r="N327" s="335">
        <f t="shared" si="37"/>
        <v>6.0681825599495349</v>
      </c>
      <c r="O327" s="335">
        <f t="shared" si="36"/>
        <v>8.9194909315190039</v>
      </c>
      <c r="P327" s="335">
        <f t="shared" si="38"/>
        <v>169.2728888888889</v>
      </c>
      <c r="Q327" s="335">
        <f t="shared" si="39"/>
        <v>70.2095417428975</v>
      </c>
      <c r="R327" s="595">
        <v>325</v>
      </c>
      <c r="S327" s="370"/>
    </row>
    <row r="328" spans="1:19" ht="15" customHeight="1">
      <c r="A328" s="607">
        <v>326</v>
      </c>
      <c r="B328" s="801"/>
      <c r="C328" s="598">
        <v>10</v>
      </c>
      <c r="D328" s="365">
        <v>12</v>
      </c>
      <c r="E328" s="337">
        <v>14.58</v>
      </c>
      <c r="F328" s="336" t="s">
        <v>495</v>
      </c>
      <c r="G328" s="334">
        <v>8</v>
      </c>
      <c r="H328" s="335">
        <v>9.4</v>
      </c>
      <c r="I328" s="335">
        <v>86.56</v>
      </c>
      <c r="J328" s="335">
        <v>51.5</v>
      </c>
      <c r="K328" s="335">
        <v>36.92</v>
      </c>
      <c r="L328" s="356">
        <v>43.28</v>
      </c>
      <c r="M328" s="338" t="s">
        <v>275</v>
      </c>
      <c r="N328" s="335">
        <f t="shared" si="37"/>
        <v>6.3902321679685716</v>
      </c>
      <c r="O328" s="335">
        <f t="shared" si="36"/>
        <v>9.3641206715902872</v>
      </c>
      <c r="P328" s="335">
        <f t="shared" si="38"/>
        <v>170.26472222222222</v>
      </c>
      <c r="Q328" s="335">
        <f t="shared" si="39"/>
        <v>70.750472788221359</v>
      </c>
      <c r="R328" s="595">
        <v>326</v>
      </c>
      <c r="S328" s="370"/>
    </row>
    <row r="329" spans="1:19" ht="15" customHeight="1">
      <c r="A329" s="607">
        <v>327</v>
      </c>
      <c r="B329" s="801"/>
      <c r="C329" s="598">
        <v>11</v>
      </c>
      <c r="D329" s="365">
        <v>12</v>
      </c>
      <c r="E329" s="337">
        <v>14.58</v>
      </c>
      <c r="F329" s="336" t="s">
        <v>496</v>
      </c>
      <c r="G329" s="334">
        <v>10</v>
      </c>
      <c r="H329" s="335">
        <v>12</v>
      </c>
      <c r="I329" s="335">
        <v>86.56</v>
      </c>
      <c r="J329" s="335">
        <v>51.5</v>
      </c>
      <c r="K329" s="335">
        <v>36.92</v>
      </c>
      <c r="L329" s="356">
        <v>43.28</v>
      </c>
      <c r="M329" s="338" t="s">
        <v>275</v>
      </c>
      <c r="N329" s="335">
        <f t="shared" si="37"/>
        <v>6.7979847144657475</v>
      </c>
      <c r="O329" s="335">
        <f t="shared" si="36"/>
        <v>9.9943248851209212</v>
      </c>
      <c r="P329" s="335">
        <f t="shared" si="38"/>
        <v>170.26472222222222</v>
      </c>
      <c r="Q329" s="335">
        <f t="shared" si="39"/>
        <v>70.906143649306259</v>
      </c>
      <c r="R329" s="595">
        <v>327</v>
      </c>
      <c r="S329" s="370"/>
    </row>
    <row r="330" spans="1:19" ht="15" customHeight="1">
      <c r="A330" s="607">
        <v>328</v>
      </c>
      <c r="B330" s="801"/>
      <c r="C330" s="598">
        <v>12</v>
      </c>
      <c r="D330" s="365">
        <v>12</v>
      </c>
      <c r="E330" s="337">
        <v>14.58</v>
      </c>
      <c r="F330" s="336" t="s">
        <v>497</v>
      </c>
      <c r="G330" s="334">
        <v>12</v>
      </c>
      <c r="H330" s="335">
        <v>14.58</v>
      </c>
      <c r="I330" s="335">
        <v>86.56</v>
      </c>
      <c r="J330" s="337">
        <v>51.96</v>
      </c>
      <c r="K330" s="335">
        <v>37.380000000000003</v>
      </c>
      <c r="L330" s="356">
        <v>43.28</v>
      </c>
      <c r="M330" s="338" t="s">
        <v>275</v>
      </c>
      <c r="N330" s="335">
        <f t="shared" si="37"/>
        <v>7.3264558675591971</v>
      </c>
      <c r="O330" s="335">
        <f t="shared" si="36"/>
        <v>10.815497313087578</v>
      </c>
      <c r="P330" s="335">
        <f t="shared" si="38"/>
        <v>171.78553333333332</v>
      </c>
      <c r="Q330" s="335">
        <f t="shared" si="39"/>
        <v>71.714470275657504</v>
      </c>
      <c r="R330" s="595">
        <v>328</v>
      </c>
      <c r="S330" s="370"/>
    </row>
    <row r="331" spans="1:19" ht="15" customHeight="1">
      <c r="A331" s="607">
        <v>329</v>
      </c>
      <c r="B331" s="801"/>
      <c r="C331" s="598">
        <v>13</v>
      </c>
      <c r="D331" s="334">
        <v>15</v>
      </c>
      <c r="E331" s="337">
        <v>17.73</v>
      </c>
      <c r="F331" s="336" t="s">
        <v>498</v>
      </c>
      <c r="G331" s="334">
        <v>4</v>
      </c>
      <c r="H331" s="335">
        <v>4.75</v>
      </c>
      <c r="I331" s="335">
        <v>87.74</v>
      </c>
      <c r="J331" s="337">
        <v>53.71</v>
      </c>
      <c r="K331" s="335">
        <v>35.979999999999997</v>
      </c>
      <c r="L331" s="356">
        <v>43.87</v>
      </c>
      <c r="M331" s="338" t="s">
        <v>275</v>
      </c>
      <c r="N331" s="335">
        <f t="shared" si="37"/>
        <v>9.1471524363675112</v>
      </c>
      <c r="O331" s="335">
        <f t="shared" si="36"/>
        <v>12.781978861758024</v>
      </c>
      <c r="P331" s="335">
        <f t="shared" si="38"/>
        <v>179.99190763888888</v>
      </c>
      <c r="Q331" s="335">
        <f t="shared" si="39"/>
        <v>76.031123947219839</v>
      </c>
      <c r="R331" s="595">
        <v>329</v>
      </c>
      <c r="S331" s="370"/>
    </row>
    <row r="332" spans="1:19" ht="15" customHeight="1">
      <c r="A332" s="607">
        <v>330</v>
      </c>
      <c r="B332" s="801"/>
      <c r="C332" s="598">
        <v>14</v>
      </c>
      <c r="D332" s="365">
        <v>15</v>
      </c>
      <c r="E332" s="337">
        <v>17.73</v>
      </c>
      <c r="F332" s="336" t="s">
        <v>499</v>
      </c>
      <c r="G332" s="334">
        <v>6</v>
      </c>
      <c r="H332" s="335">
        <v>7.05</v>
      </c>
      <c r="I332" s="335">
        <v>87.74</v>
      </c>
      <c r="J332" s="335">
        <v>54.35</v>
      </c>
      <c r="K332" s="337">
        <v>36.619999999999997</v>
      </c>
      <c r="L332" s="356">
        <v>43.87</v>
      </c>
      <c r="M332" s="338" t="s">
        <v>275</v>
      </c>
      <c r="N332" s="335">
        <f t="shared" si="37"/>
        <v>9.3756087632483514</v>
      </c>
      <c r="O332" s="335">
        <f t="shared" si="36"/>
        <v>13.092241497756795</v>
      </c>
      <c r="P332" s="335">
        <f t="shared" si="38"/>
        <v>182.13666319444442</v>
      </c>
      <c r="Q332" s="335">
        <f t="shared" si="39"/>
        <v>76.993377441923414</v>
      </c>
      <c r="R332" s="595">
        <v>330</v>
      </c>
      <c r="S332" s="370"/>
    </row>
    <row r="333" spans="1:19" ht="15" customHeight="1">
      <c r="A333" s="607">
        <v>331</v>
      </c>
      <c r="B333" s="801"/>
      <c r="C333" s="598">
        <v>15</v>
      </c>
      <c r="D333" s="365">
        <v>15</v>
      </c>
      <c r="E333" s="337">
        <v>17.73</v>
      </c>
      <c r="F333" s="336" t="s">
        <v>500</v>
      </c>
      <c r="G333" s="334">
        <v>8</v>
      </c>
      <c r="H333" s="335">
        <v>9.4</v>
      </c>
      <c r="I333" s="335">
        <v>87.74</v>
      </c>
      <c r="J333" s="337">
        <v>54.65</v>
      </c>
      <c r="K333" s="337">
        <v>36.92</v>
      </c>
      <c r="L333" s="356">
        <v>43.87</v>
      </c>
      <c r="M333" s="338" t="s">
        <v>275</v>
      </c>
      <c r="N333" s="335">
        <f t="shared" si="37"/>
        <v>9.6976583712673889</v>
      </c>
      <c r="O333" s="335">
        <f t="shared" si="36"/>
        <v>13.536871237828079</v>
      </c>
      <c r="P333" s="335">
        <f t="shared" si="38"/>
        <v>183.1420173611111</v>
      </c>
      <c r="Q333" s="335">
        <f t="shared" si="39"/>
        <v>77.539716820580608</v>
      </c>
      <c r="R333" s="595">
        <v>331</v>
      </c>
      <c r="S333" s="370"/>
    </row>
    <row r="334" spans="1:19" ht="15" customHeight="1">
      <c r="A334" s="607">
        <v>332</v>
      </c>
      <c r="B334" s="801"/>
      <c r="C334" s="598">
        <v>16</v>
      </c>
      <c r="D334" s="365">
        <v>15</v>
      </c>
      <c r="E334" s="337">
        <v>17.73</v>
      </c>
      <c r="F334" s="336" t="s">
        <v>501</v>
      </c>
      <c r="G334" s="334">
        <v>10</v>
      </c>
      <c r="H334" s="335">
        <v>12</v>
      </c>
      <c r="I334" s="335">
        <v>87.74</v>
      </c>
      <c r="J334" s="337">
        <v>54.65</v>
      </c>
      <c r="K334" s="337">
        <v>36.92</v>
      </c>
      <c r="L334" s="356">
        <v>43.87</v>
      </c>
      <c r="M334" s="338" t="s">
        <v>275</v>
      </c>
      <c r="N334" s="335">
        <f t="shared" si="37"/>
        <v>10.105410917764564</v>
      </c>
      <c r="O334" s="335">
        <f t="shared" si="36"/>
        <v>14.167075451358713</v>
      </c>
      <c r="P334" s="335">
        <f t="shared" si="38"/>
        <v>183.1420173611111</v>
      </c>
      <c r="Q334" s="335">
        <f t="shared" si="39"/>
        <v>77.695387681665508</v>
      </c>
      <c r="R334" s="595">
        <v>332</v>
      </c>
      <c r="S334" s="370"/>
    </row>
    <row r="335" spans="1:19" ht="15" customHeight="1">
      <c r="A335" s="607">
        <v>333</v>
      </c>
      <c r="B335" s="801"/>
      <c r="C335" s="598">
        <v>17</v>
      </c>
      <c r="D335" s="365">
        <v>15</v>
      </c>
      <c r="E335" s="337">
        <v>17.73</v>
      </c>
      <c r="F335" s="336" t="s">
        <v>502</v>
      </c>
      <c r="G335" s="334">
        <v>12</v>
      </c>
      <c r="H335" s="335">
        <v>14.58</v>
      </c>
      <c r="I335" s="335">
        <v>87.74</v>
      </c>
      <c r="J335" s="337">
        <v>55.11</v>
      </c>
      <c r="K335" s="337">
        <v>37.380000000000003</v>
      </c>
      <c r="L335" s="356">
        <v>43.87</v>
      </c>
      <c r="M335" s="338" t="s">
        <v>275</v>
      </c>
      <c r="N335" s="335">
        <f t="shared" si="37"/>
        <v>10.633882070858014</v>
      </c>
      <c r="O335" s="335">
        <f t="shared" si="36"/>
        <v>14.988247879325369</v>
      </c>
      <c r="P335" s="335">
        <f t="shared" si="38"/>
        <v>184.68356041666664</v>
      </c>
      <c r="Q335" s="335">
        <f t="shared" si="39"/>
        <v>78.512007085794522</v>
      </c>
      <c r="R335" s="595">
        <v>333</v>
      </c>
      <c r="S335" s="370"/>
    </row>
    <row r="336" spans="1:19" ht="15" customHeight="1">
      <c r="A336" s="607">
        <v>334</v>
      </c>
      <c r="B336" s="801"/>
      <c r="C336" s="598">
        <v>18</v>
      </c>
      <c r="D336" s="365">
        <v>15</v>
      </c>
      <c r="E336" s="337">
        <v>17.73</v>
      </c>
      <c r="F336" s="336" t="s">
        <v>503</v>
      </c>
      <c r="G336" s="365">
        <v>15</v>
      </c>
      <c r="H336" s="335">
        <v>17.73</v>
      </c>
      <c r="I336" s="335">
        <v>87.74</v>
      </c>
      <c r="J336" s="335">
        <v>53.86</v>
      </c>
      <c r="K336" s="337">
        <v>36.130000000000003</v>
      </c>
      <c r="L336" s="356">
        <v>43.87</v>
      </c>
      <c r="M336" s="338" t="s">
        <v>275</v>
      </c>
      <c r="N336" s="335">
        <f t="shared" si="37"/>
        <v>11.440428716051112</v>
      </c>
      <c r="O336" s="335">
        <f t="shared" si="36"/>
        <v>15.983697529484195</v>
      </c>
      <c r="P336" s="335">
        <f t="shared" si="38"/>
        <v>180.49458472222219</v>
      </c>
      <c r="Q336" s="335">
        <f t="shared" si="39"/>
        <v>77.244783593146309</v>
      </c>
      <c r="R336" s="595">
        <v>334</v>
      </c>
      <c r="S336" s="370"/>
    </row>
    <row r="337" spans="1:19" ht="15" customHeight="1">
      <c r="A337" s="607">
        <v>335</v>
      </c>
      <c r="B337" s="801"/>
      <c r="C337" s="598">
        <v>19</v>
      </c>
      <c r="D337" s="334">
        <v>18</v>
      </c>
      <c r="E337" s="337">
        <v>21.45</v>
      </c>
      <c r="F337" s="336" t="s">
        <v>504</v>
      </c>
      <c r="G337" s="334">
        <v>4</v>
      </c>
      <c r="H337" s="335">
        <v>4.75</v>
      </c>
      <c r="I337" s="337">
        <v>85.93</v>
      </c>
      <c r="J337" s="335">
        <v>57.43</v>
      </c>
      <c r="K337" s="337">
        <v>35.979999999999997</v>
      </c>
      <c r="L337" s="356">
        <v>42.97</v>
      </c>
      <c r="M337" s="338" t="s">
        <v>275</v>
      </c>
      <c r="N337" s="335">
        <f t="shared" si="37"/>
        <v>12.828624514984364</v>
      </c>
      <c r="O337" s="335">
        <f t="shared" si="36"/>
        <v>18.21580895097145</v>
      </c>
      <c r="P337" s="335">
        <f t="shared" si="38"/>
        <v>188.48805173611112</v>
      </c>
      <c r="Q337" s="335">
        <f t="shared" si="39"/>
        <v>80.937521629040234</v>
      </c>
      <c r="R337" s="595">
        <v>335</v>
      </c>
      <c r="S337" s="370"/>
    </row>
    <row r="338" spans="1:19" ht="15" customHeight="1">
      <c r="A338" s="607">
        <v>336</v>
      </c>
      <c r="B338" s="801"/>
      <c r="C338" s="598">
        <v>20</v>
      </c>
      <c r="D338" s="365">
        <v>18</v>
      </c>
      <c r="E338" s="337">
        <v>21.45</v>
      </c>
      <c r="F338" s="336" t="s">
        <v>505</v>
      </c>
      <c r="G338" s="334">
        <v>6</v>
      </c>
      <c r="H338" s="335">
        <v>7.05</v>
      </c>
      <c r="I338" s="337">
        <v>85.93</v>
      </c>
      <c r="J338" s="335">
        <v>58.07</v>
      </c>
      <c r="K338" s="337">
        <v>36.619999999999997</v>
      </c>
      <c r="L338" s="356">
        <v>42.97</v>
      </c>
      <c r="M338" s="338" t="s">
        <v>275</v>
      </c>
      <c r="N338" s="335">
        <f t="shared" si="37"/>
        <v>13.057080841865204</v>
      </c>
      <c r="O338" s="335">
        <f t="shared" si="36"/>
        <v>18.526071586970222</v>
      </c>
      <c r="P338" s="335">
        <f t="shared" si="38"/>
        <v>190.58856284722222</v>
      </c>
      <c r="Q338" s="335">
        <f t="shared" si="39"/>
        <v>81.882077345965996</v>
      </c>
      <c r="R338" s="595">
        <v>336</v>
      </c>
      <c r="S338" s="370"/>
    </row>
    <row r="339" spans="1:19" ht="15" customHeight="1">
      <c r="A339" s="607">
        <v>337</v>
      </c>
      <c r="B339" s="801"/>
      <c r="C339" s="598">
        <v>21</v>
      </c>
      <c r="D339" s="365">
        <v>18</v>
      </c>
      <c r="E339" s="337">
        <v>21.45</v>
      </c>
      <c r="F339" s="336" t="s">
        <v>506</v>
      </c>
      <c r="G339" s="334">
        <v>8</v>
      </c>
      <c r="H339" s="335">
        <v>9.4</v>
      </c>
      <c r="I339" s="337">
        <v>85.93</v>
      </c>
      <c r="J339" s="335">
        <v>58.37</v>
      </c>
      <c r="K339" s="337">
        <v>36.92</v>
      </c>
      <c r="L339" s="356">
        <v>42.97</v>
      </c>
      <c r="M339" s="338" t="s">
        <v>275</v>
      </c>
      <c r="N339" s="335">
        <f t="shared" si="37"/>
        <v>13.379130449884242</v>
      </c>
      <c r="O339" s="335">
        <f t="shared" si="36"/>
        <v>18.970701327041507</v>
      </c>
      <c r="P339" s="335">
        <f t="shared" si="38"/>
        <v>191.57317743055555</v>
      </c>
      <c r="Q339" s="335">
        <f t="shared" si="39"/>
        <v>82.420120891289869</v>
      </c>
      <c r="R339" s="595">
        <v>337</v>
      </c>
      <c r="S339" s="370"/>
    </row>
    <row r="340" spans="1:19" ht="15" customHeight="1">
      <c r="A340" s="607">
        <v>338</v>
      </c>
      <c r="B340" s="801"/>
      <c r="C340" s="598">
        <v>22</v>
      </c>
      <c r="D340" s="365">
        <v>18</v>
      </c>
      <c r="E340" s="337">
        <v>21.45</v>
      </c>
      <c r="F340" s="336" t="s">
        <v>507</v>
      </c>
      <c r="G340" s="334">
        <v>10</v>
      </c>
      <c r="H340" s="335">
        <v>12</v>
      </c>
      <c r="I340" s="337">
        <v>85.93</v>
      </c>
      <c r="J340" s="335">
        <v>58.37</v>
      </c>
      <c r="K340" s="337">
        <v>36.92</v>
      </c>
      <c r="L340" s="356">
        <v>42.97</v>
      </c>
      <c r="M340" s="338" t="s">
        <v>275</v>
      </c>
      <c r="N340" s="335">
        <f t="shared" si="37"/>
        <v>13.786882996381417</v>
      </c>
      <c r="O340" s="335">
        <f t="shared" si="36"/>
        <v>19.600905540572139</v>
      </c>
      <c r="P340" s="335">
        <f t="shared" si="38"/>
        <v>191.57317743055555</v>
      </c>
      <c r="Q340" s="335">
        <f t="shared" si="39"/>
        <v>82.575791752374784</v>
      </c>
      <c r="R340" s="595">
        <v>338</v>
      </c>
      <c r="S340" s="370"/>
    </row>
    <row r="341" spans="1:19" ht="15" customHeight="1">
      <c r="A341" s="607">
        <v>339</v>
      </c>
      <c r="B341" s="801"/>
      <c r="C341" s="598">
        <v>23</v>
      </c>
      <c r="D341" s="365">
        <v>18</v>
      </c>
      <c r="E341" s="337">
        <v>21.45</v>
      </c>
      <c r="F341" s="336" t="s">
        <v>508</v>
      </c>
      <c r="G341" s="334">
        <v>12</v>
      </c>
      <c r="H341" s="335">
        <v>14.58</v>
      </c>
      <c r="I341" s="337">
        <v>85.93</v>
      </c>
      <c r="J341" s="335">
        <v>58.83</v>
      </c>
      <c r="K341" s="337">
        <v>37.380000000000003</v>
      </c>
      <c r="L341" s="356">
        <v>42.97</v>
      </c>
      <c r="M341" s="338" t="s">
        <v>275</v>
      </c>
      <c r="N341" s="335">
        <f t="shared" si="37"/>
        <v>14.315354149474867</v>
      </c>
      <c r="O341" s="335">
        <f t="shared" si="36"/>
        <v>20.422077968538797</v>
      </c>
      <c r="P341" s="335">
        <f t="shared" si="38"/>
        <v>193.08291979166665</v>
      </c>
      <c r="Q341" s="335">
        <f t="shared" si="39"/>
        <v>83.379690878726024</v>
      </c>
      <c r="R341" s="595">
        <v>339</v>
      </c>
      <c r="S341" s="370"/>
    </row>
    <row r="342" spans="1:19" ht="15" customHeight="1">
      <c r="A342" s="607">
        <v>340</v>
      </c>
      <c r="B342" s="801"/>
      <c r="C342" s="598">
        <v>24</v>
      </c>
      <c r="D342" s="365">
        <v>18</v>
      </c>
      <c r="E342" s="337">
        <v>21.45</v>
      </c>
      <c r="F342" s="336" t="s">
        <v>509</v>
      </c>
      <c r="G342" s="365">
        <v>15</v>
      </c>
      <c r="H342" s="335">
        <v>17.73</v>
      </c>
      <c r="I342" s="337">
        <v>85.93</v>
      </c>
      <c r="J342" s="335">
        <v>57.58</v>
      </c>
      <c r="K342" s="337">
        <v>36.130000000000003</v>
      </c>
      <c r="L342" s="356">
        <v>42.97</v>
      </c>
      <c r="M342" s="338" t="s">
        <v>275</v>
      </c>
      <c r="N342" s="335">
        <f t="shared" si="37"/>
        <v>15.121900794667965</v>
      </c>
      <c r="O342" s="335">
        <f t="shared" si="36"/>
        <v>21.417527618697623</v>
      </c>
      <c r="P342" s="335">
        <f t="shared" si="38"/>
        <v>188.98035902777778</v>
      </c>
      <c r="Q342" s="335">
        <f t="shared" si="39"/>
        <v>82.147033358300035</v>
      </c>
      <c r="R342" s="595">
        <v>340</v>
      </c>
      <c r="S342" s="370"/>
    </row>
    <row r="343" spans="1:19" ht="15" customHeight="1">
      <c r="A343" s="607">
        <v>341</v>
      </c>
      <c r="B343" s="801"/>
      <c r="C343" s="598">
        <v>25</v>
      </c>
      <c r="D343" s="365">
        <v>18</v>
      </c>
      <c r="E343" s="337">
        <v>21.45</v>
      </c>
      <c r="F343" s="336" t="s">
        <v>510</v>
      </c>
      <c r="G343" s="365">
        <v>18</v>
      </c>
      <c r="H343" s="335">
        <v>21.45</v>
      </c>
      <c r="I343" s="337">
        <v>85.93</v>
      </c>
      <c r="J343" s="335">
        <v>59.97</v>
      </c>
      <c r="K343" s="337">
        <v>38.520000000000003</v>
      </c>
      <c r="L343" s="356">
        <v>42.97</v>
      </c>
      <c r="M343" s="338" t="s">
        <v>275</v>
      </c>
      <c r="N343" s="335">
        <f t="shared" si="37"/>
        <v>16.559629401383074</v>
      </c>
      <c r="O343" s="335">
        <f t="shared" si="36"/>
        <v>23.51582372422795</v>
      </c>
      <c r="P343" s="335">
        <f t="shared" si="38"/>
        <v>196.82445520833335</v>
      </c>
      <c r="Q343" s="335">
        <f t="shared" si="39"/>
        <v>85.883081995025236</v>
      </c>
      <c r="R343" s="595">
        <v>341</v>
      </c>
      <c r="S343" s="370"/>
    </row>
    <row r="344" spans="1:19" ht="15" customHeight="1">
      <c r="A344" s="607">
        <v>342</v>
      </c>
      <c r="B344" s="801"/>
      <c r="C344" s="598">
        <v>26</v>
      </c>
      <c r="D344" s="334">
        <v>24</v>
      </c>
      <c r="E344" s="335">
        <v>28.2</v>
      </c>
      <c r="F344" s="336" t="s">
        <v>511</v>
      </c>
      <c r="G344" s="334">
        <v>4</v>
      </c>
      <c r="H344" s="335">
        <v>4.75</v>
      </c>
      <c r="I344" s="337">
        <v>86.56</v>
      </c>
      <c r="J344" s="335">
        <v>64.180000000000007</v>
      </c>
      <c r="K344" s="337">
        <v>35.979999999999997</v>
      </c>
      <c r="L344" s="356">
        <v>43.28</v>
      </c>
      <c r="M344" s="338" t="s">
        <v>275</v>
      </c>
      <c r="N344" s="335">
        <f t="shared" si="37"/>
        <v>22.835742488989474</v>
      </c>
      <c r="O344" s="335">
        <f t="shared" si="36"/>
        <v>31.532746854162184</v>
      </c>
      <c r="P344" s="335">
        <f t="shared" si="38"/>
        <v>212.18621111111113</v>
      </c>
      <c r="Q344" s="335">
        <f t="shared" si="39"/>
        <v>95.097128191769059</v>
      </c>
      <c r="R344" s="595">
        <v>342</v>
      </c>
      <c r="S344" s="370"/>
    </row>
    <row r="345" spans="1:19" ht="15" customHeight="1">
      <c r="A345" s="607">
        <v>343</v>
      </c>
      <c r="B345" s="801"/>
      <c r="C345" s="598">
        <v>27</v>
      </c>
      <c r="D345" s="365">
        <v>24</v>
      </c>
      <c r="E345" s="335">
        <v>28.2</v>
      </c>
      <c r="F345" s="336" t="s">
        <v>512</v>
      </c>
      <c r="G345" s="334">
        <v>6</v>
      </c>
      <c r="H345" s="335">
        <v>7.05</v>
      </c>
      <c r="I345" s="337">
        <v>86.56</v>
      </c>
      <c r="J345" s="335">
        <v>64.819999999999993</v>
      </c>
      <c r="K345" s="337">
        <v>36.619999999999997</v>
      </c>
      <c r="L345" s="356">
        <v>43.28</v>
      </c>
      <c r="M345" s="338" t="s">
        <v>275</v>
      </c>
      <c r="N345" s="335">
        <f t="shared" si="37"/>
        <v>23.064198815870316</v>
      </c>
      <c r="O345" s="335">
        <f t="shared" si="36"/>
        <v>31.843009490160956</v>
      </c>
      <c r="P345" s="335">
        <f t="shared" si="38"/>
        <v>214.30212222222221</v>
      </c>
      <c r="Q345" s="335">
        <f t="shared" si="39"/>
        <v>96.047843908694816</v>
      </c>
      <c r="R345" s="595">
        <v>343</v>
      </c>
      <c r="S345" s="370"/>
    </row>
    <row r="346" spans="1:19" ht="15" customHeight="1">
      <c r="A346" s="607">
        <v>344</v>
      </c>
      <c r="B346" s="801"/>
      <c r="C346" s="598">
        <v>28</v>
      </c>
      <c r="D346" s="365">
        <v>24</v>
      </c>
      <c r="E346" s="335">
        <v>28.2</v>
      </c>
      <c r="F346" s="336" t="s">
        <v>513</v>
      </c>
      <c r="G346" s="334">
        <v>8</v>
      </c>
      <c r="H346" s="335">
        <v>9.4</v>
      </c>
      <c r="I346" s="337">
        <v>86.56</v>
      </c>
      <c r="J346" s="335">
        <v>65.12</v>
      </c>
      <c r="K346" s="337">
        <v>36.92</v>
      </c>
      <c r="L346" s="356">
        <v>43.28</v>
      </c>
      <c r="M346" s="338" t="s">
        <v>275</v>
      </c>
      <c r="N346" s="335">
        <f t="shared" si="37"/>
        <v>23.386248423889352</v>
      </c>
      <c r="O346" s="335">
        <f t="shared" si="36"/>
        <v>32.287639230232237</v>
      </c>
      <c r="P346" s="335">
        <f t="shared" si="38"/>
        <v>215.29395555555558</v>
      </c>
      <c r="Q346" s="335">
        <f t="shared" si="39"/>
        <v>96.588774954018703</v>
      </c>
      <c r="R346" s="595">
        <v>344</v>
      </c>
      <c r="S346" s="370"/>
    </row>
    <row r="347" spans="1:19" ht="15" customHeight="1">
      <c r="A347" s="607">
        <v>345</v>
      </c>
      <c r="B347" s="801"/>
      <c r="C347" s="598">
        <v>29</v>
      </c>
      <c r="D347" s="365">
        <v>24</v>
      </c>
      <c r="E347" s="335">
        <v>28.2</v>
      </c>
      <c r="F347" s="336" t="s">
        <v>514</v>
      </c>
      <c r="G347" s="334">
        <v>10</v>
      </c>
      <c r="H347" s="335">
        <v>12</v>
      </c>
      <c r="I347" s="337">
        <v>86.56</v>
      </c>
      <c r="J347" s="335">
        <v>65.12</v>
      </c>
      <c r="K347" s="337">
        <v>36.92</v>
      </c>
      <c r="L347" s="356">
        <v>43.28</v>
      </c>
      <c r="M347" s="338" t="s">
        <v>275</v>
      </c>
      <c r="N347" s="335">
        <f t="shared" si="37"/>
        <v>23.794000970386527</v>
      </c>
      <c r="O347" s="335">
        <f t="shared" si="36"/>
        <v>32.917843443762877</v>
      </c>
      <c r="P347" s="335">
        <f t="shared" si="38"/>
        <v>215.29395555555558</v>
      </c>
      <c r="Q347" s="335">
        <f t="shared" si="39"/>
        <v>96.744445815103603</v>
      </c>
      <c r="R347" s="595">
        <v>345</v>
      </c>
      <c r="S347" s="370"/>
    </row>
    <row r="348" spans="1:19" ht="15" customHeight="1">
      <c r="A348" s="607">
        <v>346</v>
      </c>
      <c r="B348" s="801"/>
      <c r="C348" s="598">
        <v>30</v>
      </c>
      <c r="D348" s="365">
        <v>24</v>
      </c>
      <c r="E348" s="335">
        <v>28.2</v>
      </c>
      <c r="F348" s="336" t="s">
        <v>515</v>
      </c>
      <c r="G348" s="334">
        <v>12</v>
      </c>
      <c r="H348" s="335">
        <v>14.58</v>
      </c>
      <c r="I348" s="337">
        <v>86.56</v>
      </c>
      <c r="J348" s="335">
        <v>65.58</v>
      </c>
      <c r="K348" s="337">
        <v>37.380000000000003</v>
      </c>
      <c r="L348" s="356">
        <v>43.28</v>
      </c>
      <c r="M348" s="338" t="s">
        <v>275</v>
      </c>
      <c r="N348" s="335">
        <f t="shared" si="37"/>
        <v>24.322472123479979</v>
      </c>
      <c r="O348" s="335">
        <f t="shared" si="36"/>
        <v>33.739015871729528</v>
      </c>
      <c r="P348" s="335">
        <f t="shared" si="38"/>
        <v>216.81476666666666</v>
      </c>
      <c r="Q348" s="335">
        <f t="shared" si="39"/>
        <v>97.552772441454835</v>
      </c>
      <c r="R348" s="595">
        <v>346</v>
      </c>
      <c r="S348" s="370"/>
    </row>
    <row r="349" spans="1:19" ht="15" customHeight="1">
      <c r="A349" s="607">
        <v>347</v>
      </c>
      <c r="B349" s="801"/>
      <c r="C349" s="598">
        <v>31</v>
      </c>
      <c r="D349" s="365">
        <v>24</v>
      </c>
      <c r="E349" s="335">
        <v>28.2</v>
      </c>
      <c r="F349" s="336" t="s">
        <v>516</v>
      </c>
      <c r="G349" s="365">
        <v>15</v>
      </c>
      <c r="H349" s="335">
        <v>17.73</v>
      </c>
      <c r="I349" s="337">
        <v>86.56</v>
      </c>
      <c r="J349" s="335">
        <v>64.33</v>
      </c>
      <c r="K349" s="337">
        <v>36.130000000000003</v>
      </c>
      <c r="L349" s="356">
        <v>43.28</v>
      </c>
      <c r="M349" s="338" t="s">
        <v>275</v>
      </c>
      <c r="N349" s="335">
        <f t="shared" si="37"/>
        <v>25.129018768673077</v>
      </c>
      <c r="O349" s="335">
        <f t="shared" si="36"/>
        <v>34.734465521888353</v>
      </c>
      <c r="P349" s="335">
        <f t="shared" si="38"/>
        <v>212.68212777777777</v>
      </c>
      <c r="Q349" s="335">
        <f t="shared" si="39"/>
        <v>96.308083671028839</v>
      </c>
      <c r="R349" s="595">
        <v>347</v>
      </c>
      <c r="S349" s="370"/>
    </row>
    <row r="350" spans="1:19" ht="15" customHeight="1">
      <c r="A350" s="607">
        <v>348</v>
      </c>
      <c r="B350" s="801"/>
      <c r="C350" s="598">
        <v>32</v>
      </c>
      <c r="D350" s="365">
        <v>24</v>
      </c>
      <c r="E350" s="335">
        <v>28.2</v>
      </c>
      <c r="F350" s="336" t="s">
        <v>517</v>
      </c>
      <c r="G350" s="365">
        <v>18</v>
      </c>
      <c r="H350" s="335">
        <v>21.45</v>
      </c>
      <c r="I350" s="337">
        <v>86.56</v>
      </c>
      <c r="J350" s="335">
        <v>66.72</v>
      </c>
      <c r="K350" s="337">
        <v>38.520000000000003</v>
      </c>
      <c r="L350" s="356">
        <v>43.28</v>
      </c>
      <c r="M350" s="338" t="s">
        <v>275</v>
      </c>
      <c r="N350" s="335">
        <f t="shared" si="37"/>
        <v>26.566747375388186</v>
      </c>
      <c r="O350" s="335">
        <f t="shared" si="36"/>
        <v>36.832761627418684</v>
      </c>
      <c r="P350" s="335">
        <f t="shared" si="38"/>
        <v>220.58373333333333</v>
      </c>
      <c r="Q350" s="335">
        <f t="shared" si="39"/>
        <v>100.06713605775406</v>
      </c>
      <c r="R350" s="595">
        <v>348</v>
      </c>
      <c r="S350" s="370"/>
    </row>
    <row r="351" spans="1:19" ht="15" customHeight="1">
      <c r="A351" s="607">
        <v>349</v>
      </c>
      <c r="B351" s="801"/>
      <c r="C351" s="598">
        <v>33</v>
      </c>
      <c r="D351" s="365">
        <v>24</v>
      </c>
      <c r="E351" s="335">
        <v>28.2</v>
      </c>
      <c r="F351" s="336" t="s">
        <v>518</v>
      </c>
      <c r="G351" s="365">
        <v>24</v>
      </c>
      <c r="H351" s="335">
        <v>28.2</v>
      </c>
      <c r="I351" s="337">
        <v>86.56</v>
      </c>
      <c r="J351" s="335">
        <v>67.540000000000006</v>
      </c>
      <c r="K351" s="337">
        <v>39.340000000000003</v>
      </c>
      <c r="L351" s="356">
        <v>43.28</v>
      </c>
      <c r="M351" s="338" t="s">
        <v>275</v>
      </c>
      <c r="N351" s="335">
        <f t="shared" si="37"/>
        <v>29.818950270323121</v>
      </c>
      <c r="O351" s="335">
        <f t="shared" si="36"/>
        <v>41.168788216964856</v>
      </c>
      <c r="P351" s="335">
        <f t="shared" si="38"/>
        <v>223.29474444444446</v>
      </c>
      <c r="Q351" s="335">
        <f t="shared" si="39"/>
        <v>102.66933276131496</v>
      </c>
      <c r="R351" s="595">
        <v>349</v>
      </c>
      <c r="S351" s="370"/>
    </row>
    <row r="352" spans="1:19" ht="15" customHeight="1">
      <c r="A352" s="607">
        <v>350</v>
      </c>
      <c r="B352" s="801"/>
      <c r="C352" s="598">
        <v>34</v>
      </c>
      <c r="D352" s="334">
        <v>30</v>
      </c>
      <c r="E352" s="335">
        <v>34.89</v>
      </c>
      <c r="F352" s="336" t="s">
        <v>519</v>
      </c>
      <c r="G352" s="334">
        <v>4</v>
      </c>
      <c r="H352" s="335">
        <v>4.75</v>
      </c>
      <c r="I352" s="337">
        <v>88</v>
      </c>
      <c r="J352" s="335">
        <v>70.87</v>
      </c>
      <c r="K352" s="337">
        <v>35.979999999999997</v>
      </c>
      <c r="L352" s="356">
        <v>44</v>
      </c>
      <c r="M352" s="338" t="s">
        <v>275</v>
      </c>
      <c r="N352" s="335">
        <f t="shared" si="37"/>
        <v>36.17180330347815</v>
      </c>
      <c r="O352" s="335">
        <f t="shared" si="36"/>
        <v>48.934902317852831</v>
      </c>
      <c r="P352" s="335">
        <f t="shared" si="38"/>
        <v>238.20194444444445</v>
      </c>
      <c r="Q352" s="335">
        <f t="shared" si="39"/>
        <v>111.8786201541148</v>
      </c>
      <c r="R352" s="595">
        <v>350</v>
      </c>
      <c r="S352" s="370"/>
    </row>
    <row r="353" spans="1:19" ht="15" customHeight="1">
      <c r="A353" s="607">
        <v>351</v>
      </c>
      <c r="B353" s="801"/>
      <c r="C353" s="598">
        <v>35</v>
      </c>
      <c r="D353" s="365">
        <v>30</v>
      </c>
      <c r="E353" s="335">
        <v>34.89</v>
      </c>
      <c r="F353" s="336" t="s">
        <v>520</v>
      </c>
      <c r="G353" s="334">
        <v>6</v>
      </c>
      <c r="H353" s="335">
        <v>7.05</v>
      </c>
      <c r="I353" s="337">
        <v>88</v>
      </c>
      <c r="J353" s="335">
        <v>71.510000000000005</v>
      </c>
      <c r="K353" s="337">
        <v>36.619999999999997</v>
      </c>
      <c r="L353" s="356">
        <v>44</v>
      </c>
      <c r="M353" s="338" t="s">
        <v>275</v>
      </c>
      <c r="N353" s="335">
        <f t="shared" si="37"/>
        <v>36.400259630358988</v>
      </c>
      <c r="O353" s="335">
        <f t="shared" si="36"/>
        <v>49.245164953851599</v>
      </c>
      <c r="P353" s="335">
        <f t="shared" si="38"/>
        <v>240.35305555555556</v>
      </c>
      <c r="Q353" s="335">
        <f t="shared" si="39"/>
        <v>112.84341587104058</v>
      </c>
      <c r="R353" s="595">
        <v>351</v>
      </c>
      <c r="S353" s="370"/>
    </row>
    <row r="354" spans="1:19" ht="15" customHeight="1">
      <c r="A354" s="607">
        <v>352</v>
      </c>
      <c r="B354" s="801"/>
      <c r="C354" s="598">
        <v>36</v>
      </c>
      <c r="D354" s="365">
        <v>30</v>
      </c>
      <c r="E354" s="335">
        <v>34.89</v>
      </c>
      <c r="F354" s="336" t="s">
        <v>521</v>
      </c>
      <c r="G354" s="334">
        <v>8</v>
      </c>
      <c r="H354" s="335">
        <v>9.4</v>
      </c>
      <c r="I354" s="337">
        <v>88</v>
      </c>
      <c r="J354" s="335">
        <v>71.81</v>
      </c>
      <c r="K354" s="337">
        <v>36.92</v>
      </c>
      <c r="L354" s="356">
        <v>44</v>
      </c>
      <c r="M354" s="338" t="s">
        <v>275</v>
      </c>
      <c r="N354" s="335">
        <f t="shared" si="37"/>
        <v>36.722309238378024</v>
      </c>
      <c r="O354" s="335">
        <f t="shared" si="36"/>
        <v>49.689794693922885</v>
      </c>
      <c r="P354" s="335">
        <f t="shared" si="38"/>
        <v>241.36138888888891</v>
      </c>
      <c r="Q354" s="335">
        <f t="shared" si="39"/>
        <v>113.39094691636444</v>
      </c>
      <c r="R354" s="595">
        <v>352</v>
      </c>
      <c r="S354" s="370"/>
    </row>
    <row r="355" spans="1:19" ht="15" customHeight="1">
      <c r="A355" s="607">
        <v>353</v>
      </c>
      <c r="B355" s="801"/>
      <c r="C355" s="598">
        <v>37</v>
      </c>
      <c r="D355" s="365">
        <v>30</v>
      </c>
      <c r="E355" s="335">
        <v>34.89</v>
      </c>
      <c r="F355" s="336" t="s">
        <v>522</v>
      </c>
      <c r="G355" s="334">
        <v>10</v>
      </c>
      <c r="H355" s="335">
        <v>12</v>
      </c>
      <c r="I355" s="337">
        <v>88</v>
      </c>
      <c r="J355" s="335">
        <v>71.81</v>
      </c>
      <c r="K355" s="337">
        <v>36.92</v>
      </c>
      <c r="L355" s="356">
        <v>44</v>
      </c>
      <c r="M355" s="338" t="s">
        <v>275</v>
      </c>
      <c r="N355" s="335">
        <f t="shared" si="37"/>
        <v>37.130061784875203</v>
      </c>
      <c r="O355" s="335">
        <f t="shared" si="36"/>
        <v>50.319998907453517</v>
      </c>
      <c r="P355" s="335">
        <f t="shared" si="38"/>
        <v>241.36138888888891</v>
      </c>
      <c r="Q355" s="335">
        <f t="shared" si="39"/>
        <v>113.54661777744937</v>
      </c>
      <c r="R355" s="595">
        <v>353</v>
      </c>
      <c r="S355" s="370"/>
    </row>
    <row r="356" spans="1:19" ht="15" customHeight="1">
      <c r="A356" s="607">
        <v>354</v>
      </c>
      <c r="B356" s="801"/>
      <c r="C356" s="598">
        <v>38</v>
      </c>
      <c r="D356" s="365">
        <v>30</v>
      </c>
      <c r="E356" s="335">
        <v>34.89</v>
      </c>
      <c r="F356" s="336" t="s">
        <v>523</v>
      </c>
      <c r="G356" s="334">
        <v>12</v>
      </c>
      <c r="H356" s="335">
        <v>14.58</v>
      </c>
      <c r="I356" s="337">
        <v>88</v>
      </c>
      <c r="J356" s="335">
        <v>72.27</v>
      </c>
      <c r="K356" s="337">
        <v>37.380000000000003</v>
      </c>
      <c r="L356" s="356">
        <v>44</v>
      </c>
      <c r="M356" s="338" t="s">
        <v>275</v>
      </c>
      <c r="N356" s="335">
        <f t="shared" si="37"/>
        <v>37.658532937968651</v>
      </c>
      <c r="O356" s="335">
        <f t="shared" si="36"/>
        <v>51.141171335420175</v>
      </c>
      <c r="P356" s="335">
        <f t="shared" si="38"/>
        <v>242.9075</v>
      </c>
      <c r="Q356" s="335">
        <f t="shared" si="39"/>
        <v>114.36506440380057</v>
      </c>
      <c r="R356" s="595">
        <v>354</v>
      </c>
      <c r="S356" s="370"/>
    </row>
    <row r="357" spans="1:19" ht="15" customHeight="1">
      <c r="A357" s="607">
        <v>355</v>
      </c>
      <c r="B357" s="801"/>
      <c r="C357" s="598">
        <v>39</v>
      </c>
      <c r="D357" s="365">
        <v>30</v>
      </c>
      <c r="E357" s="335">
        <v>34.89</v>
      </c>
      <c r="F357" s="336" t="s">
        <v>524</v>
      </c>
      <c r="G357" s="365">
        <v>15</v>
      </c>
      <c r="H357" s="335">
        <v>17.73</v>
      </c>
      <c r="I357" s="337">
        <v>88</v>
      </c>
      <c r="J357" s="335">
        <v>71.02</v>
      </c>
      <c r="K357" s="337">
        <v>36.130000000000003</v>
      </c>
      <c r="L357" s="356">
        <v>44</v>
      </c>
      <c r="M357" s="338" t="s">
        <v>275</v>
      </c>
      <c r="N357" s="335">
        <f t="shared" si="37"/>
        <v>38.465079583161746</v>
      </c>
      <c r="O357" s="335">
        <f t="shared" si="36"/>
        <v>52.136620985579</v>
      </c>
      <c r="P357" s="335">
        <f t="shared" si="38"/>
        <v>238.70611111111108</v>
      </c>
      <c r="Q357" s="335">
        <f t="shared" si="39"/>
        <v>113.09287563337458</v>
      </c>
      <c r="R357" s="595">
        <v>355</v>
      </c>
      <c r="S357" s="370"/>
    </row>
    <row r="358" spans="1:19" ht="15" customHeight="1">
      <c r="A358" s="607">
        <v>356</v>
      </c>
      <c r="B358" s="801"/>
      <c r="C358" s="598">
        <v>40</v>
      </c>
      <c r="D358" s="365">
        <v>30</v>
      </c>
      <c r="E358" s="335">
        <v>34.89</v>
      </c>
      <c r="F358" s="336" t="s">
        <v>525</v>
      </c>
      <c r="G358" s="365">
        <v>18</v>
      </c>
      <c r="H358" s="335">
        <v>21.45</v>
      </c>
      <c r="I358" s="337">
        <v>88</v>
      </c>
      <c r="J358" s="335">
        <v>73.41</v>
      </c>
      <c r="K358" s="337">
        <v>38.520000000000003</v>
      </c>
      <c r="L358" s="356">
        <v>44</v>
      </c>
      <c r="M358" s="338" t="s">
        <v>275</v>
      </c>
      <c r="N358" s="335">
        <f t="shared" si="37"/>
        <v>39.902808189876858</v>
      </c>
      <c r="O358" s="335">
        <f t="shared" si="36"/>
        <v>54.234917091109324</v>
      </c>
      <c r="P358" s="335">
        <f t="shared" si="38"/>
        <v>246.73916666666665</v>
      </c>
      <c r="Q358" s="335">
        <f t="shared" si="39"/>
        <v>116.9045080200998</v>
      </c>
      <c r="R358" s="595">
        <v>356</v>
      </c>
      <c r="S358" s="370"/>
    </row>
    <row r="359" spans="1:19" ht="15" customHeight="1">
      <c r="A359" s="607">
        <v>357</v>
      </c>
      <c r="B359" s="801"/>
      <c r="C359" s="598">
        <v>41</v>
      </c>
      <c r="D359" s="365">
        <v>30</v>
      </c>
      <c r="E359" s="335">
        <v>34.89</v>
      </c>
      <c r="F359" s="336" t="s">
        <v>526</v>
      </c>
      <c r="G359" s="365">
        <v>24</v>
      </c>
      <c r="H359" s="335">
        <v>28.2</v>
      </c>
      <c r="I359" s="337">
        <v>88</v>
      </c>
      <c r="J359" s="335">
        <v>74.23</v>
      </c>
      <c r="K359" s="337">
        <v>39.340000000000003</v>
      </c>
      <c r="L359" s="356">
        <v>44</v>
      </c>
      <c r="M359" s="338" t="s">
        <v>275</v>
      </c>
      <c r="N359" s="335">
        <f t="shared" si="37"/>
        <v>43.155011084811797</v>
      </c>
      <c r="O359" s="335">
        <f t="shared" si="36"/>
        <v>58.570943680655503</v>
      </c>
      <c r="P359" s="335">
        <f t="shared" si="38"/>
        <v>249.4952777777778</v>
      </c>
      <c r="Q359" s="335">
        <f t="shared" si="39"/>
        <v>119.52474472366072</v>
      </c>
      <c r="R359" s="595">
        <v>357</v>
      </c>
      <c r="S359" s="370"/>
    </row>
    <row r="360" spans="1:19" ht="15" customHeight="1">
      <c r="A360" s="607">
        <v>358</v>
      </c>
      <c r="B360" s="801"/>
      <c r="C360" s="598">
        <v>42</v>
      </c>
      <c r="D360" s="365">
        <v>30</v>
      </c>
      <c r="E360" s="335">
        <v>34.89</v>
      </c>
      <c r="F360" s="336" t="s">
        <v>527</v>
      </c>
      <c r="G360" s="365">
        <v>30</v>
      </c>
      <c r="H360" s="337">
        <v>34.89</v>
      </c>
      <c r="I360" s="337">
        <v>88</v>
      </c>
      <c r="J360" s="335">
        <v>70.89</v>
      </c>
      <c r="K360" s="337">
        <v>36</v>
      </c>
      <c r="L360" s="356">
        <v>44</v>
      </c>
      <c r="M360" s="338" t="s">
        <v>275</v>
      </c>
      <c r="N360" s="335">
        <f t="shared" si="37"/>
        <v>45.814892864851153</v>
      </c>
      <c r="O360" s="335">
        <f t="shared" si="36"/>
        <v>61.96780382731886</v>
      </c>
      <c r="P360" s="335">
        <f t="shared" si="38"/>
        <v>238.26916666666668</v>
      </c>
      <c r="Q360" s="335">
        <f t="shared" si="39"/>
        <v>116.33543800059027</v>
      </c>
      <c r="R360" s="595">
        <v>358</v>
      </c>
      <c r="S360" s="370"/>
    </row>
    <row r="361" spans="1:19" ht="15" customHeight="1">
      <c r="A361" s="607">
        <v>359</v>
      </c>
      <c r="B361" s="801"/>
      <c r="C361" s="598">
        <v>43</v>
      </c>
      <c r="D361" s="334">
        <v>36</v>
      </c>
      <c r="E361" s="337">
        <v>40.9</v>
      </c>
      <c r="F361" s="336" t="s">
        <v>528</v>
      </c>
      <c r="G361" s="334">
        <v>4</v>
      </c>
      <c r="H361" s="335">
        <v>4.75</v>
      </c>
      <c r="I361" s="337">
        <v>88</v>
      </c>
      <c r="J361" s="335">
        <v>76.88</v>
      </c>
      <c r="K361" s="337">
        <v>35.979999999999997</v>
      </c>
      <c r="L361" s="356">
        <v>44</v>
      </c>
      <c r="M361" s="338" t="s">
        <v>275</v>
      </c>
      <c r="N361" s="335">
        <f t="shared" si="37"/>
        <v>52.010666265326684</v>
      </c>
      <c r="O361" s="335">
        <f t="shared" si="36"/>
        <v>67.153510442877547</v>
      </c>
      <c r="P361" s="335">
        <f t="shared" si="38"/>
        <v>258.40222222222224</v>
      </c>
      <c r="Q361" s="335">
        <f t="shared" si="39"/>
        <v>128.51015097706457</v>
      </c>
      <c r="R361" s="595">
        <v>359</v>
      </c>
      <c r="S361" s="370"/>
    </row>
    <row r="362" spans="1:19" ht="15" customHeight="1">
      <c r="A362" s="607">
        <v>360</v>
      </c>
      <c r="B362" s="801"/>
      <c r="C362" s="598">
        <v>44</v>
      </c>
      <c r="D362" s="365">
        <v>36</v>
      </c>
      <c r="E362" s="337">
        <v>40.9</v>
      </c>
      <c r="F362" s="336" t="s">
        <v>529</v>
      </c>
      <c r="G362" s="334">
        <v>6</v>
      </c>
      <c r="H362" s="335">
        <v>7.05</v>
      </c>
      <c r="I362" s="337">
        <v>88</v>
      </c>
      <c r="J362" s="335">
        <v>77.52</v>
      </c>
      <c r="K362" s="337">
        <v>36.619999999999997</v>
      </c>
      <c r="L362" s="356">
        <v>44</v>
      </c>
      <c r="M362" s="338" t="s">
        <v>275</v>
      </c>
      <c r="N362" s="335">
        <f t="shared" si="37"/>
        <v>52.239122592207522</v>
      </c>
      <c r="O362" s="335">
        <f t="shared" si="36"/>
        <v>67.463773078876329</v>
      </c>
      <c r="P362" s="335">
        <f t="shared" si="38"/>
        <v>260.55333333333334</v>
      </c>
      <c r="Q362" s="335">
        <f t="shared" si="39"/>
        <v>129.47494669399032</v>
      </c>
      <c r="R362" s="595">
        <v>360</v>
      </c>
      <c r="S362" s="370"/>
    </row>
    <row r="363" spans="1:19" ht="15" customHeight="1">
      <c r="A363" s="607">
        <v>361</v>
      </c>
      <c r="B363" s="801"/>
      <c r="C363" s="598">
        <v>45</v>
      </c>
      <c r="D363" s="365">
        <v>36</v>
      </c>
      <c r="E363" s="337">
        <v>40.9</v>
      </c>
      <c r="F363" s="336" t="s">
        <v>530</v>
      </c>
      <c r="G363" s="334">
        <v>8</v>
      </c>
      <c r="H363" s="335">
        <v>9.4</v>
      </c>
      <c r="I363" s="337">
        <v>88</v>
      </c>
      <c r="J363" s="335">
        <v>77.819999999999993</v>
      </c>
      <c r="K363" s="337">
        <v>36.92</v>
      </c>
      <c r="L363" s="356">
        <v>44</v>
      </c>
      <c r="M363" s="338" t="s">
        <v>275</v>
      </c>
      <c r="N363" s="335">
        <f t="shared" si="37"/>
        <v>52.561172200226558</v>
      </c>
      <c r="O363" s="335">
        <f t="shared" si="36"/>
        <v>67.908402818947607</v>
      </c>
      <c r="P363" s="335">
        <f t="shared" si="38"/>
        <v>261.56166666666661</v>
      </c>
      <c r="Q363" s="335">
        <f t="shared" si="39"/>
        <v>130.02247773931418</v>
      </c>
      <c r="R363" s="595">
        <v>361</v>
      </c>
      <c r="S363" s="370"/>
    </row>
    <row r="364" spans="1:19" ht="15" customHeight="1">
      <c r="A364" s="607">
        <v>362</v>
      </c>
      <c r="B364" s="801"/>
      <c r="C364" s="598">
        <v>46</v>
      </c>
      <c r="D364" s="365">
        <v>36</v>
      </c>
      <c r="E364" s="337">
        <v>40.9</v>
      </c>
      <c r="F364" s="336" t="s">
        <v>531</v>
      </c>
      <c r="G364" s="334">
        <v>10</v>
      </c>
      <c r="H364" s="335">
        <v>12</v>
      </c>
      <c r="I364" s="337">
        <v>88</v>
      </c>
      <c r="J364" s="335">
        <v>77.819999999999993</v>
      </c>
      <c r="K364" s="337">
        <v>36.92</v>
      </c>
      <c r="L364" s="356">
        <v>44</v>
      </c>
      <c r="M364" s="338" t="s">
        <v>275</v>
      </c>
      <c r="N364" s="335">
        <f t="shared" si="37"/>
        <v>52.968924746723737</v>
      </c>
      <c r="O364" s="335">
        <f t="shared" si="36"/>
        <v>68.538607032478239</v>
      </c>
      <c r="P364" s="335">
        <f t="shared" si="38"/>
        <v>261.56166666666661</v>
      </c>
      <c r="Q364" s="335">
        <f t="shared" si="39"/>
        <v>130.17814860039908</v>
      </c>
      <c r="R364" s="595">
        <v>362</v>
      </c>
      <c r="S364" s="370"/>
    </row>
    <row r="365" spans="1:19" ht="15" customHeight="1">
      <c r="A365" s="607">
        <v>363</v>
      </c>
      <c r="B365" s="801"/>
      <c r="C365" s="598">
        <v>47</v>
      </c>
      <c r="D365" s="365">
        <v>36</v>
      </c>
      <c r="E365" s="337">
        <v>40.9</v>
      </c>
      <c r="F365" s="336" t="s">
        <v>532</v>
      </c>
      <c r="G365" s="334">
        <v>12</v>
      </c>
      <c r="H365" s="335">
        <v>14.58</v>
      </c>
      <c r="I365" s="337">
        <v>88</v>
      </c>
      <c r="J365" s="335">
        <v>78.28</v>
      </c>
      <c r="K365" s="337">
        <v>37.380000000000003</v>
      </c>
      <c r="L365" s="356">
        <v>44</v>
      </c>
      <c r="M365" s="338" t="s">
        <v>275</v>
      </c>
      <c r="N365" s="335">
        <f t="shared" si="37"/>
        <v>53.497395899817185</v>
      </c>
      <c r="O365" s="335">
        <f t="shared" si="36"/>
        <v>69.359779460444898</v>
      </c>
      <c r="P365" s="335">
        <f t="shared" si="38"/>
        <v>263.10777777777776</v>
      </c>
      <c r="Q365" s="335">
        <f t="shared" si="39"/>
        <v>130.99659522675034</v>
      </c>
      <c r="R365" s="595">
        <v>363</v>
      </c>
      <c r="S365" s="370"/>
    </row>
    <row r="366" spans="1:19" ht="15" customHeight="1">
      <c r="A366" s="607">
        <v>364</v>
      </c>
      <c r="B366" s="801"/>
      <c r="C366" s="598">
        <v>48</v>
      </c>
      <c r="D366" s="365">
        <v>36</v>
      </c>
      <c r="E366" s="337">
        <v>40.9</v>
      </c>
      <c r="F366" s="336" t="s">
        <v>533</v>
      </c>
      <c r="G366" s="365">
        <v>15</v>
      </c>
      <c r="H366" s="335">
        <v>17.73</v>
      </c>
      <c r="I366" s="337">
        <v>88</v>
      </c>
      <c r="J366" s="335">
        <v>77.03</v>
      </c>
      <c r="K366" s="337">
        <v>36.130000000000003</v>
      </c>
      <c r="L366" s="356">
        <v>44</v>
      </c>
      <c r="M366" s="338" t="s">
        <v>275</v>
      </c>
      <c r="N366" s="335">
        <f t="shared" si="37"/>
        <v>54.30394254501028</v>
      </c>
      <c r="O366" s="335">
        <f t="shared" si="36"/>
        <v>70.355229110603716</v>
      </c>
      <c r="P366" s="335">
        <f t="shared" si="38"/>
        <v>258.9063888888889</v>
      </c>
      <c r="Q366" s="335">
        <f t="shared" si="39"/>
        <v>129.72440645632435</v>
      </c>
      <c r="R366" s="595">
        <v>364</v>
      </c>
      <c r="S366" s="370"/>
    </row>
    <row r="367" spans="1:19" ht="15" customHeight="1">
      <c r="A367" s="607">
        <v>365</v>
      </c>
      <c r="B367" s="801"/>
      <c r="C367" s="598">
        <v>49</v>
      </c>
      <c r="D367" s="365">
        <v>36</v>
      </c>
      <c r="E367" s="337">
        <v>40.9</v>
      </c>
      <c r="F367" s="336" t="s">
        <v>534</v>
      </c>
      <c r="G367" s="365">
        <v>18</v>
      </c>
      <c r="H367" s="335">
        <v>21.45</v>
      </c>
      <c r="I367" s="337">
        <v>88</v>
      </c>
      <c r="J367" s="335">
        <v>79.42</v>
      </c>
      <c r="K367" s="337">
        <v>38.520000000000003</v>
      </c>
      <c r="L367" s="356">
        <v>44</v>
      </c>
      <c r="M367" s="338" t="s">
        <v>275</v>
      </c>
      <c r="N367" s="335">
        <f t="shared" si="37"/>
        <v>55.741671151725392</v>
      </c>
      <c r="O367" s="335">
        <f t="shared" si="36"/>
        <v>72.453525216134054</v>
      </c>
      <c r="P367" s="335">
        <f t="shared" si="38"/>
        <v>266.93944444444446</v>
      </c>
      <c r="Q367" s="335">
        <f t="shared" si="39"/>
        <v>133.53603884304957</v>
      </c>
      <c r="R367" s="595">
        <v>365</v>
      </c>
      <c r="S367" s="370"/>
    </row>
    <row r="368" spans="1:19" ht="15" customHeight="1">
      <c r="A368" s="607">
        <v>366</v>
      </c>
      <c r="B368" s="801"/>
      <c r="C368" s="598">
        <v>50</v>
      </c>
      <c r="D368" s="365">
        <v>36</v>
      </c>
      <c r="E368" s="337">
        <v>40.9</v>
      </c>
      <c r="F368" s="336" t="s">
        <v>535</v>
      </c>
      <c r="G368" s="365">
        <v>24</v>
      </c>
      <c r="H368" s="335">
        <v>28.2</v>
      </c>
      <c r="I368" s="337">
        <v>88</v>
      </c>
      <c r="J368" s="335">
        <v>80.239999999999995</v>
      </c>
      <c r="K368" s="337">
        <v>39.340000000000003</v>
      </c>
      <c r="L368" s="356">
        <v>44</v>
      </c>
      <c r="M368" s="338" t="s">
        <v>275</v>
      </c>
      <c r="N368" s="335">
        <f t="shared" si="37"/>
        <v>58.993874046660331</v>
      </c>
      <c r="O368" s="335">
        <f t="shared" si="36"/>
        <v>76.789551805680219</v>
      </c>
      <c r="P368" s="335">
        <f t="shared" si="38"/>
        <v>269.69555555555553</v>
      </c>
      <c r="Q368" s="335">
        <f t="shared" si="39"/>
        <v>136.15627554661046</v>
      </c>
      <c r="R368" s="595">
        <v>366</v>
      </c>
      <c r="S368" s="370"/>
    </row>
    <row r="369" spans="1:19" ht="15" customHeight="1">
      <c r="A369" s="607">
        <v>367</v>
      </c>
      <c r="B369" s="801"/>
      <c r="C369" s="598">
        <v>51</v>
      </c>
      <c r="D369" s="365">
        <v>36</v>
      </c>
      <c r="E369" s="337">
        <v>40.9</v>
      </c>
      <c r="F369" s="336" t="s">
        <v>536</v>
      </c>
      <c r="G369" s="365">
        <v>30</v>
      </c>
      <c r="H369" s="337">
        <v>34.89</v>
      </c>
      <c r="I369" s="337">
        <v>88</v>
      </c>
      <c r="J369" s="335">
        <v>76.900000000000006</v>
      </c>
      <c r="K369" s="337">
        <v>36</v>
      </c>
      <c r="L369" s="356">
        <v>44</v>
      </c>
      <c r="M369" s="338" t="s">
        <v>275</v>
      </c>
      <c r="N369" s="335">
        <f t="shared" si="37"/>
        <v>61.653755826699687</v>
      </c>
      <c r="O369" s="335">
        <f t="shared" si="36"/>
        <v>80.186411952343576</v>
      </c>
      <c r="P369" s="335">
        <f t="shared" si="38"/>
        <v>258.46944444444443</v>
      </c>
      <c r="Q369" s="335">
        <f t="shared" si="39"/>
        <v>132.96696882354004</v>
      </c>
      <c r="R369" s="595">
        <v>367</v>
      </c>
      <c r="S369" s="370"/>
    </row>
    <row r="370" spans="1:19" ht="15" customHeight="1">
      <c r="A370" s="607">
        <v>368</v>
      </c>
      <c r="B370" s="801"/>
      <c r="C370" s="598">
        <v>52</v>
      </c>
      <c r="D370" s="334">
        <v>42</v>
      </c>
      <c r="E370" s="337">
        <v>47.53</v>
      </c>
      <c r="F370" s="336" t="s">
        <v>537</v>
      </c>
      <c r="G370" s="334">
        <v>4</v>
      </c>
      <c r="H370" s="335">
        <v>4.75</v>
      </c>
      <c r="I370" s="337">
        <v>85.33</v>
      </c>
      <c r="J370" s="335">
        <v>83.51</v>
      </c>
      <c r="K370" s="337">
        <v>35.979999999999997</v>
      </c>
      <c r="L370" s="356">
        <v>42.67</v>
      </c>
      <c r="M370" s="338" t="s">
        <v>275</v>
      </c>
      <c r="N370" s="335">
        <f t="shared" si="37"/>
        <v>68.588621623855701</v>
      </c>
      <c r="O370" s="335">
        <f t="shared" si="36"/>
        <v>87.861932828089365</v>
      </c>
      <c r="P370" s="335">
        <f t="shared" si="38"/>
        <v>272.17010868055559</v>
      </c>
      <c r="Q370" s="335">
        <f t="shared" si="39"/>
        <v>142.31189196484218</v>
      </c>
      <c r="R370" s="595">
        <v>368</v>
      </c>
      <c r="S370" s="370"/>
    </row>
    <row r="371" spans="1:19" ht="15" customHeight="1">
      <c r="A371" s="607">
        <v>369</v>
      </c>
      <c r="B371" s="801"/>
      <c r="C371" s="598">
        <v>53</v>
      </c>
      <c r="D371" s="365">
        <v>42</v>
      </c>
      <c r="E371" s="337">
        <v>47.53</v>
      </c>
      <c r="F371" s="336" t="s">
        <v>538</v>
      </c>
      <c r="G371" s="334">
        <v>6</v>
      </c>
      <c r="H371" s="335">
        <v>7.05</v>
      </c>
      <c r="I371" s="337">
        <v>85.33</v>
      </c>
      <c r="J371" s="335">
        <v>84.15</v>
      </c>
      <c r="K371" s="337">
        <v>36.619999999999997</v>
      </c>
      <c r="L371" s="356">
        <v>42.67</v>
      </c>
      <c r="M371" s="338" t="s">
        <v>275</v>
      </c>
      <c r="N371" s="335">
        <f t="shared" si="37"/>
        <v>68.817077950736547</v>
      </c>
      <c r="O371" s="335">
        <f t="shared" si="36"/>
        <v>88.172195464088148</v>
      </c>
      <c r="P371" s="335">
        <f t="shared" si="38"/>
        <v>274.25595312500002</v>
      </c>
      <c r="Q371" s="335">
        <f t="shared" si="39"/>
        <v>143.25058101510132</v>
      </c>
      <c r="R371" s="595">
        <v>369</v>
      </c>
      <c r="S371" s="370"/>
    </row>
    <row r="372" spans="1:19" ht="15" customHeight="1">
      <c r="A372" s="607">
        <v>370</v>
      </c>
      <c r="B372" s="801"/>
      <c r="C372" s="598">
        <v>54</v>
      </c>
      <c r="D372" s="365">
        <v>42</v>
      </c>
      <c r="E372" s="337">
        <v>47.53</v>
      </c>
      <c r="F372" s="336" t="s">
        <v>539</v>
      </c>
      <c r="G372" s="334">
        <v>8</v>
      </c>
      <c r="H372" s="335">
        <v>9.4</v>
      </c>
      <c r="I372" s="337">
        <v>85.33</v>
      </c>
      <c r="J372" s="335">
        <v>84.45</v>
      </c>
      <c r="K372" s="337">
        <v>36.92</v>
      </c>
      <c r="L372" s="356">
        <v>42.67</v>
      </c>
      <c r="M372" s="338" t="s">
        <v>275</v>
      </c>
      <c r="N372" s="335">
        <f t="shared" si="37"/>
        <v>69.13912755875559</v>
      </c>
      <c r="O372" s="335">
        <f t="shared" si="36"/>
        <v>88.616825204159426</v>
      </c>
      <c r="P372" s="335">
        <f t="shared" si="38"/>
        <v>275.23369270833331</v>
      </c>
      <c r="Q372" s="335">
        <f t="shared" si="39"/>
        <v>143.78587456042516</v>
      </c>
      <c r="R372" s="595">
        <v>370</v>
      </c>
      <c r="S372" s="370"/>
    </row>
    <row r="373" spans="1:19" ht="15" customHeight="1">
      <c r="A373" s="607">
        <v>371</v>
      </c>
      <c r="B373" s="801"/>
      <c r="C373" s="598">
        <v>55</v>
      </c>
      <c r="D373" s="365">
        <v>42</v>
      </c>
      <c r="E373" s="337">
        <v>47.53</v>
      </c>
      <c r="F373" s="336" t="s">
        <v>540</v>
      </c>
      <c r="G373" s="334">
        <v>10</v>
      </c>
      <c r="H373" s="335">
        <v>12</v>
      </c>
      <c r="I373" s="337">
        <v>85.33</v>
      </c>
      <c r="J373" s="335">
        <v>84.45</v>
      </c>
      <c r="K373" s="337">
        <v>36.92</v>
      </c>
      <c r="L373" s="356">
        <v>42.67</v>
      </c>
      <c r="M373" s="338" t="s">
        <v>275</v>
      </c>
      <c r="N373" s="335">
        <f t="shared" si="37"/>
        <v>69.546880105252754</v>
      </c>
      <c r="O373" s="335">
        <f t="shared" si="36"/>
        <v>89.247029417690058</v>
      </c>
      <c r="P373" s="335">
        <f t="shared" si="38"/>
        <v>275.23369270833331</v>
      </c>
      <c r="Q373" s="335">
        <f t="shared" si="39"/>
        <v>143.94154542151006</v>
      </c>
      <c r="R373" s="595">
        <v>371</v>
      </c>
      <c r="S373" s="370"/>
    </row>
    <row r="374" spans="1:19" ht="15" customHeight="1">
      <c r="A374" s="607">
        <v>372</v>
      </c>
      <c r="B374" s="801"/>
      <c r="C374" s="598">
        <v>56</v>
      </c>
      <c r="D374" s="365">
        <v>42</v>
      </c>
      <c r="E374" s="337">
        <v>47.53</v>
      </c>
      <c r="F374" s="336" t="s">
        <v>541</v>
      </c>
      <c r="G374" s="334">
        <v>12</v>
      </c>
      <c r="H374" s="335">
        <v>14.58</v>
      </c>
      <c r="I374" s="337">
        <v>85.33</v>
      </c>
      <c r="J374" s="335">
        <v>84.91</v>
      </c>
      <c r="K374" s="337">
        <v>37.380000000000003</v>
      </c>
      <c r="L374" s="356">
        <v>42.67</v>
      </c>
      <c r="M374" s="338" t="s">
        <v>275</v>
      </c>
      <c r="N374" s="335">
        <f t="shared" si="37"/>
        <v>70.075351258346203</v>
      </c>
      <c r="O374" s="335">
        <f t="shared" si="36"/>
        <v>90.068201845656716</v>
      </c>
      <c r="P374" s="335">
        <f t="shared" si="38"/>
        <v>276.73289340277773</v>
      </c>
      <c r="Q374" s="335">
        <f t="shared" si="39"/>
        <v>144.74122788119462</v>
      </c>
      <c r="R374" s="595">
        <v>372</v>
      </c>
      <c r="S374" s="370"/>
    </row>
    <row r="375" spans="1:19" ht="15" customHeight="1">
      <c r="A375" s="607">
        <v>373</v>
      </c>
      <c r="B375" s="801"/>
      <c r="C375" s="598">
        <v>57</v>
      </c>
      <c r="D375" s="365">
        <v>42</v>
      </c>
      <c r="E375" s="337">
        <v>47.53</v>
      </c>
      <c r="F375" s="336" t="s">
        <v>542</v>
      </c>
      <c r="G375" s="365">
        <v>15</v>
      </c>
      <c r="H375" s="335">
        <v>17.73</v>
      </c>
      <c r="I375" s="337">
        <v>85.33</v>
      </c>
      <c r="J375" s="335">
        <v>83.66</v>
      </c>
      <c r="K375" s="337">
        <v>36.130000000000003</v>
      </c>
      <c r="L375" s="356">
        <v>42.67</v>
      </c>
      <c r="M375" s="338" t="s">
        <v>275</v>
      </c>
      <c r="N375" s="335">
        <f t="shared" si="37"/>
        <v>70.881897903539311</v>
      </c>
      <c r="O375" s="335">
        <f t="shared" si="36"/>
        <v>91.063651495815535</v>
      </c>
      <c r="P375" s="335">
        <f t="shared" si="38"/>
        <v>272.6589784722222</v>
      </c>
      <c r="Q375" s="335">
        <f t="shared" si="39"/>
        <v>143.520028694102</v>
      </c>
      <c r="R375" s="595">
        <v>373</v>
      </c>
      <c r="S375" s="370"/>
    </row>
    <row r="376" spans="1:19" ht="15" customHeight="1">
      <c r="A376" s="607">
        <v>374</v>
      </c>
      <c r="B376" s="801"/>
      <c r="C376" s="598">
        <v>58</v>
      </c>
      <c r="D376" s="365">
        <v>42</v>
      </c>
      <c r="E376" s="337">
        <v>47.53</v>
      </c>
      <c r="F376" s="336" t="s">
        <v>543</v>
      </c>
      <c r="G376" s="365">
        <v>18</v>
      </c>
      <c r="H376" s="335">
        <v>21.45</v>
      </c>
      <c r="I376" s="337">
        <v>85.33</v>
      </c>
      <c r="J376" s="335">
        <v>86.05</v>
      </c>
      <c r="K376" s="337">
        <v>38.520000000000003</v>
      </c>
      <c r="L376" s="356">
        <v>42.67</v>
      </c>
      <c r="M376" s="338" t="s">
        <v>275</v>
      </c>
      <c r="N376" s="335">
        <f t="shared" si="37"/>
        <v>72.319626510254423</v>
      </c>
      <c r="O376" s="335">
        <f t="shared" si="36"/>
        <v>93.161947601345872</v>
      </c>
      <c r="P376" s="335">
        <f t="shared" si="38"/>
        <v>280.44830381944439</v>
      </c>
      <c r="Q376" s="335">
        <f t="shared" si="39"/>
        <v>147.23416899749384</v>
      </c>
      <c r="R376" s="595">
        <v>374</v>
      </c>
      <c r="S376" s="370"/>
    </row>
    <row r="377" spans="1:19" ht="15" customHeight="1">
      <c r="A377" s="607">
        <v>375</v>
      </c>
      <c r="B377" s="801"/>
      <c r="C377" s="598">
        <v>59</v>
      </c>
      <c r="D377" s="365">
        <v>42</v>
      </c>
      <c r="E377" s="337">
        <v>47.53</v>
      </c>
      <c r="F377" s="336" t="s">
        <v>544</v>
      </c>
      <c r="G377" s="365">
        <v>24</v>
      </c>
      <c r="H377" s="335">
        <v>28.2</v>
      </c>
      <c r="I377" s="337">
        <v>85.33</v>
      </c>
      <c r="J377" s="335">
        <v>86.87</v>
      </c>
      <c r="K377" s="337">
        <v>39.340000000000003</v>
      </c>
      <c r="L377" s="356">
        <v>42.67</v>
      </c>
      <c r="M377" s="338" t="s">
        <v>275</v>
      </c>
      <c r="N377" s="335">
        <f t="shared" si="37"/>
        <v>75.571829405189348</v>
      </c>
      <c r="O377" s="335">
        <f t="shared" si="36"/>
        <v>97.497974190892052</v>
      </c>
      <c r="P377" s="335">
        <f t="shared" si="38"/>
        <v>283.12079201388889</v>
      </c>
      <c r="Q377" s="335">
        <f t="shared" si="39"/>
        <v>149.82095653438807</v>
      </c>
      <c r="R377" s="595">
        <v>375</v>
      </c>
      <c r="S377" s="370"/>
    </row>
    <row r="378" spans="1:19" ht="15" customHeight="1">
      <c r="A378" s="607">
        <v>376</v>
      </c>
      <c r="B378" s="801"/>
      <c r="C378" s="598">
        <v>60</v>
      </c>
      <c r="D378" s="365">
        <v>42</v>
      </c>
      <c r="E378" s="337">
        <v>47.53</v>
      </c>
      <c r="F378" s="336" t="s">
        <v>545</v>
      </c>
      <c r="G378" s="365">
        <v>30</v>
      </c>
      <c r="H378" s="337">
        <v>34.89</v>
      </c>
      <c r="I378" s="337">
        <v>85.33</v>
      </c>
      <c r="J378" s="335">
        <v>83.53</v>
      </c>
      <c r="K378" s="337">
        <v>36</v>
      </c>
      <c r="L378" s="356">
        <v>42.67</v>
      </c>
      <c r="M378" s="338" t="s">
        <v>275</v>
      </c>
      <c r="N378" s="335">
        <f t="shared" si="37"/>
        <v>78.231711185228704</v>
      </c>
      <c r="O378" s="335">
        <f t="shared" si="36"/>
        <v>100.89483433755539</v>
      </c>
      <c r="P378" s="335">
        <f t="shared" si="38"/>
        <v>272.23529131944446</v>
      </c>
      <c r="Q378" s="335">
        <f t="shared" si="39"/>
        <v>146.76789397798433</v>
      </c>
      <c r="R378" s="595">
        <v>376</v>
      </c>
      <c r="S378" s="370"/>
    </row>
    <row r="379" spans="1:19" ht="15" customHeight="1">
      <c r="A379" s="607">
        <v>377</v>
      </c>
      <c r="B379" s="801"/>
      <c r="C379" s="598">
        <v>61</v>
      </c>
      <c r="D379" s="334">
        <v>48</v>
      </c>
      <c r="E379" s="337">
        <v>54.48</v>
      </c>
      <c r="F379" s="336" t="s">
        <v>546</v>
      </c>
      <c r="G379" s="334">
        <v>4</v>
      </c>
      <c r="H379" s="335">
        <v>4.75</v>
      </c>
      <c r="I379" s="337">
        <v>85.33</v>
      </c>
      <c r="J379" s="335">
        <v>90.46</v>
      </c>
      <c r="K379" s="337">
        <v>35.979999999999997</v>
      </c>
      <c r="L379" s="356">
        <v>42.67</v>
      </c>
      <c r="M379" s="338" t="s">
        <v>275</v>
      </c>
      <c r="N379" s="335">
        <f t="shared" si="37"/>
        <v>89.531754524700773</v>
      </c>
      <c r="O379" s="335">
        <f t="shared" si="36"/>
        <v>115.35830775613691</v>
      </c>
      <c r="P379" s="335">
        <f t="shared" si="38"/>
        <v>294.8210756944444</v>
      </c>
      <c r="Q379" s="335">
        <f t="shared" si="39"/>
        <v>161.31686170002376</v>
      </c>
      <c r="R379" s="595">
        <v>377</v>
      </c>
      <c r="S379" s="370"/>
    </row>
    <row r="380" spans="1:19" ht="15" customHeight="1">
      <c r="A380" s="607">
        <v>378</v>
      </c>
      <c r="B380" s="801"/>
      <c r="C380" s="598">
        <v>62</v>
      </c>
      <c r="D380" s="365">
        <v>48</v>
      </c>
      <c r="E380" s="337">
        <v>54.48</v>
      </c>
      <c r="F380" s="336" t="s">
        <v>547</v>
      </c>
      <c r="G380" s="334">
        <v>6</v>
      </c>
      <c r="H380" s="335">
        <v>7.05</v>
      </c>
      <c r="I380" s="337">
        <v>85.33</v>
      </c>
      <c r="J380" s="335">
        <v>91.1</v>
      </c>
      <c r="K380" s="337">
        <v>36.619999999999997</v>
      </c>
      <c r="L380" s="356">
        <v>42.67</v>
      </c>
      <c r="M380" s="338" t="s">
        <v>275</v>
      </c>
      <c r="N380" s="335">
        <f t="shared" si="37"/>
        <v>89.760210851581618</v>
      </c>
      <c r="O380" s="335">
        <f t="shared" si="36"/>
        <v>115.66857039213569</v>
      </c>
      <c r="P380" s="335">
        <f t="shared" si="38"/>
        <v>296.90692013888884</v>
      </c>
      <c r="Q380" s="335">
        <f t="shared" si="39"/>
        <v>162.25555075028288</v>
      </c>
      <c r="R380" s="595">
        <v>378</v>
      </c>
      <c r="S380" s="370"/>
    </row>
    <row r="381" spans="1:19" ht="15" customHeight="1">
      <c r="A381" s="607">
        <v>379</v>
      </c>
      <c r="B381" s="801"/>
      <c r="C381" s="598">
        <v>63</v>
      </c>
      <c r="D381" s="365">
        <v>48</v>
      </c>
      <c r="E381" s="337">
        <v>54.48</v>
      </c>
      <c r="F381" s="336" t="s">
        <v>548</v>
      </c>
      <c r="G381" s="334">
        <v>8</v>
      </c>
      <c r="H381" s="335">
        <v>9.4</v>
      </c>
      <c r="I381" s="337">
        <v>85.33</v>
      </c>
      <c r="J381" s="335">
        <v>91.4</v>
      </c>
      <c r="K381" s="337">
        <v>36.92</v>
      </c>
      <c r="L381" s="356">
        <v>42.67</v>
      </c>
      <c r="M381" s="338" t="s">
        <v>275</v>
      </c>
      <c r="N381" s="335">
        <f t="shared" si="37"/>
        <v>90.082260459600661</v>
      </c>
      <c r="O381" s="335">
        <f t="shared" si="36"/>
        <v>116.11320013220697</v>
      </c>
      <c r="P381" s="335">
        <f t="shared" si="38"/>
        <v>297.88465972222224</v>
      </c>
      <c r="Q381" s="335">
        <f t="shared" si="39"/>
        <v>162.79084429560677</v>
      </c>
      <c r="R381" s="595">
        <v>379</v>
      </c>
      <c r="S381" s="370"/>
    </row>
    <row r="382" spans="1:19" ht="15" customHeight="1">
      <c r="A382" s="607">
        <v>380</v>
      </c>
      <c r="B382" s="801"/>
      <c r="C382" s="598">
        <v>64</v>
      </c>
      <c r="D382" s="365">
        <v>48</v>
      </c>
      <c r="E382" s="337">
        <v>54.48</v>
      </c>
      <c r="F382" s="336" t="s">
        <v>549</v>
      </c>
      <c r="G382" s="334">
        <v>10</v>
      </c>
      <c r="H382" s="335">
        <v>12</v>
      </c>
      <c r="I382" s="337">
        <v>85.33</v>
      </c>
      <c r="J382" s="335">
        <v>91.4</v>
      </c>
      <c r="K382" s="337">
        <v>36.92</v>
      </c>
      <c r="L382" s="356">
        <v>42.67</v>
      </c>
      <c r="M382" s="338" t="s">
        <v>275</v>
      </c>
      <c r="N382" s="335">
        <f t="shared" si="37"/>
        <v>90.490013006097826</v>
      </c>
      <c r="O382" s="335">
        <f t="shared" si="36"/>
        <v>116.7434043457376</v>
      </c>
      <c r="P382" s="335">
        <f t="shared" si="38"/>
        <v>297.88465972222224</v>
      </c>
      <c r="Q382" s="335">
        <f t="shared" si="39"/>
        <v>162.9465151566917</v>
      </c>
      <c r="R382" s="595">
        <v>380</v>
      </c>
      <c r="S382" s="370"/>
    </row>
    <row r="383" spans="1:19" ht="15" customHeight="1">
      <c r="A383" s="607">
        <v>381</v>
      </c>
      <c r="B383" s="801"/>
      <c r="C383" s="598">
        <v>65</v>
      </c>
      <c r="D383" s="365">
        <v>48</v>
      </c>
      <c r="E383" s="337">
        <v>54.48</v>
      </c>
      <c r="F383" s="336" t="s">
        <v>550</v>
      </c>
      <c r="G383" s="334">
        <v>12</v>
      </c>
      <c r="H383" s="335">
        <v>14.58</v>
      </c>
      <c r="I383" s="337">
        <v>85.33</v>
      </c>
      <c r="J383" s="335">
        <v>91.86</v>
      </c>
      <c r="K383" s="337">
        <v>37.380000000000003</v>
      </c>
      <c r="L383" s="356">
        <v>42.67</v>
      </c>
      <c r="M383" s="338" t="s">
        <v>275</v>
      </c>
      <c r="N383" s="335">
        <f t="shared" si="37"/>
        <v>91.018484159191274</v>
      </c>
      <c r="O383" s="335">
        <f t="shared" ref="O383:O396" si="40">PI()*E383^2/4*I383/1728+PI()*H383^2/4*(K383-12)/1728</f>
        <v>117.56457677370426</v>
      </c>
      <c r="P383" s="335">
        <f t="shared" si="38"/>
        <v>299.38386041666666</v>
      </c>
      <c r="Q383" s="335">
        <f t="shared" si="39"/>
        <v>163.74619761637624</v>
      </c>
      <c r="R383" s="595">
        <v>381</v>
      </c>
      <c r="S383" s="370"/>
    </row>
    <row r="384" spans="1:19" ht="15" customHeight="1">
      <c r="A384" s="607">
        <v>382</v>
      </c>
      <c r="B384" s="801"/>
      <c r="C384" s="598">
        <v>66</v>
      </c>
      <c r="D384" s="365">
        <v>48</v>
      </c>
      <c r="E384" s="337">
        <v>54.48</v>
      </c>
      <c r="F384" s="336" t="s">
        <v>551</v>
      </c>
      <c r="G384" s="365">
        <v>15</v>
      </c>
      <c r="H384" s="335">
        <v>17.73</v>
      </c>
      <c r="I384" s="337">
        <v>85.33</v>
      </c>
      <c r="J384" s="335">
        <v>90.61</v>
      </c>
      <c r="K384" s="337">
        <v>36.130000000000003</v>
      </c>
      <c r="L384" s="356">
        <v>42.67</v>
      </c>
      <c r="M384" s="338" t="s">
        <v>275</v>
      </c>
      <c r="N384" s="335">
        <f t="shared" ref="N384:N396" si="41">PI()*D384^2/4*I384/1728+PI()*G384^2/4*(K384-12)/1728</f>
        <v>91.825030804384383</v>
      </c>
      <c r="O384" s="335">
        <f t="shared" si="40"/>
        <v>118.56002642386308</v>
      </c>
      <c r="P384" s="335">
        <f t="shared" ref="P384:P396" si="42">66*I384*J384/1728</f>
        <v>295.30994548611113</v>
      </c>
      <c r="Q384" s="335">
        <f t="shared" ref="Q384:Q396" si="43">0.4*(P384-O384)+N384</f>
        <v>162.52499842928361</v>
      </c>
      <c r="R384" s="595">
        <v>382</v>
      </c>
      <c r="S384" s="370"/>
    </row>
    <row r="385" spans="1:19" ht="15" customHeight="1">
      <c r="A385" s="607">
        <v>383</v>
      </c>
      <c r="B385" s="801"/>
      <c r="C385" s="598">
        <v>67</v>
      </c>
      <c r="D385" s="365">
        <v>48</v>
      </c>
      <c r="E385" s="337">
        <v>54.48</v>
      </c>
      <c r="F385" s="336" t="s">
        <v>552</v>
      </c>
      <c r="G385" s="365">
        <v>18</v>
      </c>
      <c r="H385" s="335">
        <v>21.45</v>
      </c>
      <c r="I385" s="337">
        <v>85.33</v>
      </c>
      <c r="J385" s="335">
        <v>93</v>
      </c>
      <c r="K385" s="337">
        <v>38.520000000000003</v>
      </c>
      <c r="L385" s="356">
        <v>42.67</v>
      </c>
      <c r="M385" s="338" t="s">
        <v>275</v>
      </c>
      <c r="N385" s="335">
        <f t="shared" si="41"/>
        <v>93.262759411099495</v>
      </c>
      <c r="O385" s="335">
        <f t="shared" si="40"/>
        <v>120.65832252939342</v>
      </c>
      <c r="P385" s="335">
        <f t="shared" si="42"/>
        <v>303.09927083333332</v>
      </c>
      <c r="Q385" s="335">
        <f t="shared" si="43"/>
        <v>166.23913873267546</v>
      </c>
      <c r="R385" s="595">
        <v>383</v>
      </c>
      <c r="S385" s="370"/>
    </row>
    <row r="386" spans="1:19" ht="15" customHeight="1">
      <c r="A386" s="607">
        <v>384</v>
      </c>
      <c r="B386" s="801"/>
      <c r="C386" s="598">
        <v>68</v>
      </c>
      <c r="D386" s="365">
        <v>48</v>
      </c>
      <c r="E386" s="337">
        <v>54.48</v>
      </c>
      <c r="F386" s="336" t="s">
        <v>553</v>
      </c>
      <c r="G386" s="365">
        <v>24</v>
      </c>
      <c r="H386" s="335">
        <v>28.2</v>
      </c>
      <c r="I386" s="337">
        <v>85.33</v>
      </c>
      <c r="J386" s="335">
        <v>93.82</v>
      </c>
      <c r="K386" s="337">
        <v>39.340000000000003</v>
      </c>
      <c r="L386" s="356">
        <v>42.67</v>
      </c>
      <c r="M386" s="338" t="s">
        <v>275</v>
      </c>
      <c r="N386" s="335">
        <f t="shared" si="41"/>
        <v>96.51496230603442</v>
      </c>
      <c r="O386" s="335">
        <f t="shared" si="40"/>
        <v>124.9943491189396</v>
      </c>
      <c r="P386" s="335">
        <f t="shared" si="42"/>
        <v>305.77175902777776</v>
      </c>
      <c r="Q386" s="335">
        <f t="shared" si="43"/>
        <v>168.82592626956969</v>
      </c>
      <c r="R386" s="595">
        <v>384</v>
      </c>
      <c r="S386" s="370"/>
    </row>
    <row r="387" spans="1:19" ht="15" customHeight="1">
      <c r="A387" s="607">
        <v>385</v>
      </c>
      <c r="B387" s="801"/>
      <c r="C387" s="598">
        <v>69</v>
      </c>
      <c r="D387" s="365">
        <v>48</v>
      </c>
      <c r="E387" s="337">
        <v>54.48</v>
      </c>
      <c r="F387" s="336" t="s">
        <v>554</v>
      </c>
      <c r="G387" s="365">
        <v>30</v>
      </c>
      <c r="H387" s="337">
        <v>34.89</v>
      </c>
      <c r="I387" s="337">
        <v>85.33</v>
      </c>
      <c r="J387" s="335">
        <v>90.48</v>
      </c>
      <c r="K387" s="337">
        <v>36</v>
      </c>
      <c r="L387" s="356">
        <v>42.67</v>
      </c>
      <c r="M387" s="338" t="s">
        <v>275</v>
      </c>
      <c r="N387" s="335">
        <f t="shared" si="41"/>
        <v>99.174844086073776</v>
      </c>
      <c r="O387" s="335">
        <f t="shared" si="40"/>
        <v>128.39120926560295</v>
      </c>
      <c r="P387" s="335">
        <f t="shared" si="42"/>
        <v>294.88625833333333</v>
      </c>
      <c r="Q387" s="335">
        <f t="shared" si="43"/>
        <v>165.77286371316592</v>
      </c>
      <c r="R387" s="595">
        <v>385</v>
      </c>
      <c r="S387" s="370"/>
    </row>
    <row r="388" spans="1:19" ht="15" customHeight="1">
      <c r="A388" s="607">
        <v>386</v>
      </c>
      <c r="B388" s="801"/>
      <c r="C388" s="598">
        <v>70</v>
      </c>
      <c r="D388" s="334">
        <v>60</v>
      </c>
      <c r="E388" s="337">
        <v>66.849999999999994</v>
      </c>
      <c r="F388" s="336" t="s">
        <v>555</v>
      </c>
      <c r="G388" s="334">
        <v>4</v>
      </c>
      <c r="H388" s="335">
        <v>4.75</v>
      </c>
      <c r="I388" s="335">
        <v>90</v>
      </c>
      <c r="J388" s="335">
        <v>102.83</v>
      </c>
      <c r="K388" s="335">
        <v>35.979999999999997</v>
      </c>
      <c r="L388" s="356">
        <v>45</v>
      </c>
      <c r="M388" s="338" t="s">
        <v>275</v>
      </c>
      <c r="N388" s="335">
        <f t="shared" si="41"/>
        <v>147.43654311811665</v>
      </c>
      <c r="O388" s="335">
        <f t="shared" si="40"/>
        <v>183.05234713105119</v>
      </c>
      <c r="P388" s="335">
        <f t="shared" si="42"/>
        <v>353.47812499999998</v>
      </c>
      <c r="Q388" s="335">
        <f t="shared" si="43"/>
        <v>215.60685426569614</v>
      </c>
      <c r="R388" s="595">
        <v>386</v>
      </c>
      <c r="S388" s="370"/>
    </row>
    <row r="389" spans="1:19" ht="15" customHeight="1">
      <c r="A389" s="607">
        <v>387</v>
      </c>
      <c r="B389" s="801"/>
      <c r="C389" s="598">
        <v>71</v>
      </c>
      <c r="D389" s="365">
        <v>60</v>
      </c>
      <c r="E389" s="337">
        <v>66.849999999999994</v>
      </c>
      <c r="F389" s="336" t="s">
        <v>556</v>
      </c>
      <c r="G389" s="334">
        <v>6</v>
      </c>
      <c r="H389" s="335">
        <v>7.05</v>
      </c>
      <c r="I389" s="335">
        <v>90</v>
      </c>
      <c r="J389" s="335">
        <v>103.47</v>
      </c>
      <c r="K389" s="335">
        <v>36.619999999999997</v>
      </c>
      <c r="L389" s="356">
        <v>45</v>
      </c>
      <c r="M389" s="338" t="s">
        <v>275</v>
      </c>
      <c r="N389" s="335">
        <f t="shared" si="41"/>
        <v>147.66499944499751</v>
      </c>
      <c r="O389" s="335">
        <f t="shared" si="40"/>
        <v>183.36260976704995</v>
      </c>
      <c r="P389" s="335">
        <f t="shared" si="42"/>
        <v>355.67812500000002</v>
      </c>
      <c r="Q389" s="335">
        <f t="shared" si="43"/>
        <v>216.59120553817752</v>
      </c>
      <c r="R389" s="595">
        <v>387</v>
      </c>
      <c r="S389" s="370"/>
    </row>
    <row r="390" spans="1:19" ht="15" customHeight="1">
      <c r="A390" s="607">
        <v>388</v>
      </c>
      <c r="B390" s="801"/>
      <c r="C390" s="598">
        <v>72</v>
      </c>
      <c r="D390" s="365">
        <v>60</v>
      </c>
      <c r="E390" s="337">
        <v>66.849999999999994</v>
      </c>
      <c r="F390" s="336" t="s">
        <v>557</v>
      </c>
      <c r="G390" s="334">
        <v>8</v>
      </c>
      <c r="H390" s="335">
        <v>9.4</v>
      </c>
      <c r="I390" s="335">
        <v>90</v>
      </c>
      <c r="J390" s="335">
        <v>103.77</v>
      </c>
      <c r="K390" s="335">
        <v>36.92</v>
      </c>
      <c r="L390" s="356">
        <v>45</v>
      </c>
      <c r="M390" s="338" t="s">
        <v>275</v>
      </c>
      <c r="N390" s="335">
        <f t="shared" si="41"/>
        <v>147.98704905301653</v>
      </c>
      <c r="O390" s="335">
        <f t="shared" si="40"/>
        <v>183.80723950712124</v>
      </c>
      <c r="P390" s="335">
        <f t="shared" si="42"/>
        <v>356.70937499999997</v>
      </c>
      <c r="Q390" s="335">
        <f t="shared" si="43"/>
        <v>217.14790325016804</v>
      </c>
      <c r="R390" s="595">
        <v>388</v>
      </c>
      <c r="S390" s="370"/>
    </row>
    <row r="391" spans="1:19" ht="15" customHeight="1">
      <c r="A391" s="607">
        <v>389</v>
      </c>
      <c r="B391" s="801"/>
      <c r="C391" s="598">
        <v>73</v>
      </c>
      <c r="D391" s="365">
        <v>60</v>
      </c>
      <c r="E391" s="337">
        <v>66.849999999999994</v>
      </c>
      <c r="F391" s="336" t="s">
        <v>558</v>
      </c>
      <c r="G391" s="334">
        <v>10</v>
      </c>
      <c r="H391" s="335">
        <v>12</v>
      </c>
      <c r="I391" s="335">
        <v>90</v>
      </c>
      <c r="J391" s="335">
        <v>103.77</v>
      </c>
      <c r="K391" s="335">
        <v>36.92</v>
      </c>
      <c r="L391" s="356">
        <v>45</v>
      </c>
      <c r="M391" s="338" t="s">
        <v>275</v>
      </c>
      <c r="N391" s="335">
        <f t="shared" si="41"/>
        <v>148.3948015995137</v>
      </c>
      <c r="O391" s="335">
        <f t="shared" si="40"/>
        <v>184.43744372065188</v>
      </c>
      <c r="P391" s="335">
        <f t="shared" si="42"/>
        <v>356.70937499999997</v>
      </c>
      <c r="Q391" s="335">
        <f t="shared" si="43"/>
        <v>217.30357411125294</v>
      </c>
      <c r="R391" s="595">
        <v>389</v>
      </c>
      <c r="S391" s="370"/>
    </row>
    <row r="392" spans="1:19" ht="15" customHeight="1">
      <c r="A392" s="607">
        <v>390</v>
      </c>
      <c r="B392" s="801"/>
      <c r="C392" s="598">
        <v>74</v>
      </c>
      <c r="D392" s="365">
        <v>60</v>
      </c>
      <c r="E392" s="337">
        <v>66.849999999999994</v>
      </c>
      <c r="F392" s="336" t="s">
        <v>559</v>
      </c>
      <c r="G392" s="334">
        <v>12</v>
      </c>
      <c r="H392" s="335">
        <v>14.58</v>
      </c>
      <c r="I392" s="335">
        <v>90</v>
      </c>
      <c r="J392" s="335">
        <v>104.23</v>
      </c>
      <c r="K392" s="335">
        <v>37.380000000000003</v>
      </c>
      <c r="L392" s="356">
        <v>45</v>
      </c>
      <c r="M392" s="338" t="s">
        <v>275</v>
      </c>
      <c r="N392" s="335">
        <f t="shared" si="41"/>
        <v>148.92327275260715</v>
      </c>
      <c r="O392" s="335">
        <f t="shared" si="40"/>
        <v>185.25861614861853</v>
      </c>
      <c r="P392" s="335">
        <f t="shared" si="42"/>
        <v>358.29062500000003</v>
      </c>
      <c r="Q392" s="335">
        <f t="shared" si="43"/>
        <v>218.13607629315976</v>
      </c>
      <c r="R392" s="595">
        <v>390</v>
      </c>
      <c r="S392" s="370"/>
    </row>
    <row r="393" spans="1:19" ht="15" customHeight="1">
      <c r="A393" s="607">
        <v>391</v>
      </c>
      <c r="B393" s="801"/>
      <c r="C393" s="598">
        <v>75</v>
      </c>
      <c r="D393" s="365">
        <v>60</v>
      </c>
      <c r="E393" s="337">
        <v>66.849999999999994</v>
      </c>
      <c r="F393" s="336" t="s">
        <v>560</v>
      </c>
      <c r="G393" s="365">
        <v>15</v>
      </c>
      <c r="H393" s="335">
        <v>17.73</v>
      </c>
      <c r="I393" s="335">
        <v>90</v>
      </c>
      <c r="J393" s="335">
        <v>102.98</v>
      </c>
      <c r="K393" s="335">
        <v>36.130000000000003</v>
      </c>
      <c r="L393" s="356">
        <v>45</v>
      </c>
      <c r="M393" s="338" t="s">
        <v>275</v>
      </c>
      <c r="N393" s="335">
        <f t="shared" si="41"/>
        <v>149.72981939780024</v>
      </c>
      <c r="O393" s="335">
        <f t="shared" si="40"/>
        <v>186.25406579877736</v>
      </c>
      <c r="P393" s="335">
        <f t="shared" si="42"/>
        <v>353.99375000000003</v>
      </c>
      <c r="Q393" s="335">
        <f t="shared" si="43"/>
        <v>216.82569307828931</v>
      </c>
      <c r="R393" s="595">
        <v>391</v>
      </c>
      <c r="S393" s="370"/>
    </row>
    <row r="394" spans="1:19" ht="15" customHeight="1">
      <c r="A394" s="607">
        <v>392</v>
      </c>
      <c r="B394" s="801"/>
      <c r="C394" s="598">
        <v>76</v>
      </c>
      <c r="D394" s="365">
        <v>60</v>
      </c>
      <c r="E394" s="337">
        <v>66.849999999999994</v>
      </c>
      <c r="F394" s="336" t="s">
        <v>561</v>
      </c>
      <c r="G394" s="365">
        <v>18</v>
      </c>
      <c r="H394" s="335">
        <v>21.45</v>
      </c>
      <c r="I394" s="335">
        <v>90</v>
      </c>
      <c r="J394" s="335">
        <v>105.37</v>
      </c>
      <c r="K394" s="335">
        <v>38.520000000000003</v>
      </c>
      <c r="L394" s="356">
        <v>45</v>
      </c>
      <c r="M394" s="338" t="s">
        <v>275</v>
      </c>
      <c r="N394" s="335">
        <f t="shared" si="41"/>
        <v>151.16754800451537</v>
      </c>
      <c r="O394" s="335">
        <f t="shared" si="40"/>
        <v>188.35236190430768</v>
      </c>
      <c r="P394" s="335">
        <f t="shared" si="42"/>
        <v>362.20937500000002</v>
      </c>
      <c r="Q394" s="335">
        <f t="shared" si="43"/>
        <v>220.71035324279231</v>
      </c>
      <c r="R394" s="595">
        <v>392</v>
      </c>
      <c r="S394" s="370"/>
    </row>
    <row r="395" spans="1:19" ht="15" customHeight="1">
      <c r="A395" s="607">
        <v>393</v>
      </c>
      <c r="B395" s="801"/>
      <c r="C395" s="598">
        <v>77</v>
      </c>
      <c r="D395" s="365">
        <v>60</v>
      </c>
      <c r="E395" s="337">
        <v>66.849999999999994</v>
      </c>
      <c r="F395" s="336" t="s">
        <v>562</v>
      </c>
      <c r="G395" s="365">
        <v>24</v>
      </c>
      <c r="H395" s="335">
        <v>28.2</v>
      </c>
      <c r="I395" s="335">
        <v>90</v>
      </c>
      <c r="J395" s="335">
        <v>106.19</v>
      </c>
      <c r="K395" s="335">
        <v>39.340000000000003</v>
      </c>
      <c r="L395" s="356">
        <v>45</v>
      </c>
      <c r="M395" s="338" t="s">
        <v>275</v>
      </c>
      <c r="N395" s="335">
        <f t="shared" si="41"/>
        <v>154.41975089945029</v>
      </c>
      <c r="O395" s="335">
        <f t="shared" si="40"/>
        <v>192.68838849385386</v>
      </c>
      <c r="P395" s="335">
        <f t="shared" si="42"/>
        <v>365.02812499999999</v>
      </c>
      <c r="Q395" s="335">
        <f t="shared" si="43"/>
        <v>223.35564550190873</v>
      </c>
      <c r="R395" s="595">
        <v>393</v>
      </c>
      <c r="S395" s="370"/>
    </row>
    <row r="396" spans="1:19" ht="15" customHeight="1" thickBot="1">
      <c r="A396" s="607">
        <v>394</v>
      </c>
      <c r="B396" s="817"/>
      <c r="C396" s="599">
        <v>78</v>
      </c>
      <c r="D396" s="366">
        <v>60</v>
      </c>
      <c r="E396" s="349">
        <v>66.849999999999994</v>
      </c>
      <c r="F396" s="360" t="s">
        <v>563</v>
      </c>
      <c r="G396" s="366">
        <v>30</v>
      </c>
      <c r="H396" s="349">
        <v>34.89</v>
      </c>
      <c r="I396" s="347">
        <v>90</v>
      </c>
      <c r="J396" s="347">
        <v>102.85</v>
      </c>
      <c r="K396" s="347">
        <v>36</v>
      </c>
      <c r="L396" s="359">
        <v>45</v>
      </c>
      <c r="M396" s="338" t="s">
        <v>275</v>
      </c>
      <c r="N396" s="347">
        <f t="shared" si="41"/>
        <v>157.07963267948966</v>
      </c>
      <c r="O396" s="347">
        <f t="shared" si="40"/>
        <v>196.08524864051722</v>
      </c>
      <c r="P396" s="347">
        <f t="shared" si="42"/>
        <v>353.546875</v>
      </c>
      <c r="Q396" s="347">
        <f t="shared" si="43"/>
        <v>220.06428322328279</v>
      </c>
      <c r="R396" s="595">
        <v>394</v>
      </c>
      <c r="S396" s="370"/>
    </row>
    <row r="397" spans="1:19" ht="15" customHeight="1" thickTop="1">
      <c r="A397" s="607">
        <v>395</v>
      </c>
      <c r="B397" s="798" t="s">
        <v>564</v>
      </c>
      <c r="C397" s="361">
        <v>1</v>
      </c>
      <c r="D397" s="351">
        <v>8</v>
      </c>
      <c r="E397" s="363">
        <v>9.4</v>
      </c>
      <c r="F397" s="362" t="s">
        <v>565</v>
      </c>
      <c r="G397" s="351">
        <v>4</v>
      </c>
      <c r="H397" s="352">
        <v>4.75</v>
      </c>
      <c r="I397" s="352">
        <v>171.96</v>
      </c>
      <c r="J397" s="352">
        <v>45.38</v>
      </c>
      <c r="K397" s="352">
        <v>35.979999999999997</v>
      </c>
      <c r="L397" s="354">
        <v>42.99</v>
      </c>
      <c r="M397" s="352">
        <v>85.98</v>
      </c>
      <c r="N397" s="352">
        <f>PI()*D397^2/4*I397/1728+2*PI()*G397^2/4*(K397-12)/1728</f>
        <v>5.3508885984059491</v>
      </c>
      <c r="O397" s="352">
        <f>PI()*E397^2/4*I397/1728+2*PI()*H397^2/4*(K397-12)/1728</f>
        <v>7.3978703317763923</v>
      </c>
      <c r="P397" s="352">
        <f>66*I397*J397/1728</f>
        <v>298.05205833333338</v>
      </c>
      <c r="Q397" s="352">
        <f>0.4*(P397-O397)+N397</f>
        <v>121.61256379902873</v>
      </c>
      <c r="R397" s="595">
        <v>395</v>
      </c>
    </row>
    <row r="398" spans="1:19" ht="15" customHeight="1">
      <c r="A398" s="607">
        <v>396</v>
      </c>
      <c r="B398" s="799"/>
      <c r="C398" s="333">
        <v>2</v>
      </c>
      <c r="D398" s="365">
        <v>8</v>
      </c>
      <c r="E398" s="337">
        <v>9.4</v>
      </c>
      <c r="F398" s="336" t="s">
        <v>566</v>
      </c>
      <c r="G398" s="334">
        <v>6</v>
      </c>
      <c r="H398" s="335">
        <v>7.05</v>
      </c>
      <c r="I398" s="335">
        <v>171.96</v>
      </c>
      <c r="J398" s="335">
        <v>46.02</v>
      </c>
      <c r="K398" s="335">
        <v>36.619999999999997</v>
      </c>
      <c r="L398" s="356">
        <v>42.99</v>
      </c>
      <c r="M398" s="335">
        <v>85.98</v>
      </c>
      <c r="N398" s="367">
        <f t="shared" ref="N398:N461" si="44">PI()*D398^2/4*I398/1728+2*PI()*G398^2/4*(K398-12)/1728</f>
        <v>5.8078012521676312</v>
      </c>
      <c r="O398" s="367">
        <f t="shared" ref="O398:O461" si="45">PI()*E398^2/4*I398/1728+2*PI()*H398^2/4*(K398-12)/1728</f>
        <v>8.0183956037739357</v>
      </c>
      <c r="P398" s="367">
        <f t="shared" ref="P398:P461" si="46">66*I398*J398/1728</f>
        <v>302.25552500000003</v>
      </c>
      <c r="Q398" s="367">
        <f t="shared" ref="Q398:Q461" si="47">0.4*(P398-O398)+N398</f>
        <v>123.50265301065809</v>
      </c>
      <c r="R398" s="595">
        <v>396</v>
      </c>
    </row>
    <row r="399" spans="1:19" ht="15" customHeight="1">
      <c r="A399" s="607">
        <v>397</v>
      </c>
      <c r="B399" s="799"/>
      <c r="C399" s="333">
        <v>3</v>
      </c>
      <c r="D399" s="365">
        <v>8</v>
      </c>
      <c r="E399" s="337">
        <v>9.4</v>
      </c>
      <c r="F399" s="336" t="s">
        <v>855</v>
      </c>
      <c r="G399" s="334">
        <v>8</v>
      </c>
      <c r="H399" s="335">
        <v>9.4</v>
      </c>
      <c r="I399" s="335">
        <v>171.96</v>
      </c>
      <c r="J399" s="335">
        <v>46.32</v>
      </c>
      <c r="K399" s="335">
        <v>36.92</v>
      </c>
      <c r="L399" s="356">
        <v>42.99</v>
      </c>
      <c r="M399" s="335">
        <v>85.98</v>
      </c>
      <c r="N399" s="335">
        <f t="shared" si="44"/>
        <v>6.4519004682057055</v>
      </c>
      <c r="O399" s="335">
        <f t="shared" si="45"/>
        <v>8.9076550839165023</v>
      </c>
      <c r="P399" s="335">
        <f t="shared" si="46"/>
        <v>304.22589999999997</v>
      </c>
      <c r="Q399" s="335">
        <f t="shared" si="47"/>
        <v>124.5791984346391</v>
      </c>
      <c r="R399" s="595">
        <v>397</v>
      </c>
    </row>
    <row r="400" spans="1:19" ht="15" customHeight="1">
      <c r="A400" s="607">
        <v>398</v>
      </c>
      <c r="B400" s="799"/>
      <c r="C400" s="333">
        <v>4</v>
      </c>
      <c r="D400" s="334">
        <v>10</v>
      </c>
      <c r="E400" s="337">
        <v>12</v>
      </c>
      <c r="F400" s="336" t="s">
        <v>567</v>
      </c>
      <c r="G400" s="334">
        <v>4</v>
      </c>
      <c r="H400" s="335">
        <v>4.75</v>
      </c>
      <c r="I400" s="335">
        <v>172.31</v>
      </c>
      <c r="J400" s="335">
        <v>47.98</v>
      </c>
      <c r="K400" s="335">
        <v>35.979999999999997</v>
      </c>
      <c r="L400" s="356">
        <v>43.08</v>
      </c>
      <c r="M400" s="335">
        <v>86.16</v>
      </c>
      <c r="N400" s="335">
        <f t="shared" si="44"/>
        <v>8.1804854676887135</v>
      </c>
      <c r="O400" s="335">
        <f t="shared" si="45"/>
        <v>11.769490320693885</v>
      </c>
      <c r="P400" s="335">
        <f t="shared" si="46"/>
        <v>315.77004097222226</v>
      </c>
      <c r="Q400" s="335">
        <f t="shared" si="47"/>
        <v>129.78070572830009</v>
      </c>
      <c r="R400" s="595">
        <v>398</v>
      </c>
    </row>
    <row r="401" spans="1:18" ht="15" customHeight="1">
      <c r="A401" s="607">
        <v>399</v>
      </c>
      <c r="B401" s="799"/>
      <c r="C401" s="333">
        <v>5</v>
      </c>
      <c r="D401" s="365">
        <v>10</v>
      </c>
      <c r="E401" s="337">
        <v>12</v>
      </c>
      <c r="F401" s="336" t="s">
        <v>568</v>
      </c>
      <c r="G401" s="334">
        <v>6</v>
      </c>
      <c r="H401" s="335">
        <v>7.05</v>
      </c>
      <c r="I401" s="335">
        <v>172.31</v>
      </c>
      <c r="J401" s="335">
        <v>48.62</v>
      </c>
      <c r="K401" s="335">
        <v>36.619999999999997</v>
      </c>
      <c r="L401" s="356">
        <v>43.08</v>
      </c>
      <c r="M401" s="335">
        <v>86.16</v>
      </c>
      <c r="N401" s="335">
        <f t="shared" si="44"/>
        <v>8.6373981214503956</v>
      </c>
      <c r="O401" s="335">
        <f t="shared" si="45"/>
        <v>12.390015592691427</v>
      </c>
      <c r="P401" s="335">
        <f t="shared" si="46"/>
        <v>319.98206319444444</v>
      </c>
      <c r="Q401" s="335">
        <f t="shared" si="47"/>
        <v>131.67421716215159</v>
      </c>
      <c r="R401" s="595">
        <v>399</v>
      </c>
    </row>
    <row r="402" spans="1:18" ht="15" customHeight="1">
      <c r="A402" s="607">
        <v>400</v>
      </c>
      <c r="B402" s="799"/>
      <c r="C402" s="333">
        <v>6</v>
      </c>
      <c r="D402" s="365">
        <v>10</v>
      </c>
      <c r="E402" s="337">
        <v>12</v>
      </c>
      <c r="F402" s="336" t="s">
        <v>569</v>
      </c>
      <c r="G402" s="334">
        <v>8</v>
      </c>
      <c r="H402" s="335">
        <v>9.4</v>
      </c>
      <c r="I402" s="335">
        <v>172.31</v>
      </c>
      <c r="J402" s="335">
        <v>48.92</v>
      </c>
      <c r="K402" s="335">
        <v>36.92</v>
      </c>
      <c r="L402" s="356">
        <v>43.08</v>
      </c>
      <c r="M402" s="335">
        <v>86.16</v>
      </c>
      <c r="N402" s="335">
        <f t="shared" si="44"/>
        <v>9.2814973374884708</v>
      </c>
      <c r="O402" s="335">
        <f t="shared" si="45"/>
        <v>13.279275072833993</v>
      </c>
      <c r="P402" s="335">
        <f t="shared" si="46"/>
        <v>321.95644861111111</v>
      </c>
      <c r="Q402" s="335">
        <f t="shared" si="47"/>
        <v>132.75236675279933</v>
      </c>
      <c r="R402" s="595">
        <v>400</v>
      </c>
    </row>
    <row r="403" spans="1:18" ht="15" customHeight="1">
      <c r="A403" s="607">
        <v>401</v>
      </c>
      <c r="B403" s="799"/>
      <c r="C403" s="333">
        <v>7</v>
      </c>
      <c r="D403" s="365">
        <v>10</v>
      </c>
      <c r="E403" s="337">
        <v>12</v>
      </c>
      <c r="F403" s="336" t="s">
        <v>570</v>
      </c>
      <c r="G403" s="334">
        <v>10</v>
      </c>
      <c r="H403" s="335">
        <v>12</v>
      </c>
      <c r="I403" s="335">
        <v>172.31</v>
      </c>
      <c r="J403" s="335">
        <v>48.92</v>
      </c>
      <c r="K403" s="335">
        <v>36.92</v>
      </c>
      <c r="L403" s="356">
        <v>43.08</v>
      </c>
      <c r="M403" s="335">
        <v>86.16</v>
      </c>
      <c r="N403" s="335">
        <f t="shared" si="44"/>
        <v>10.097002430482821</v>
      </c>
      <c r="O403" s="335">
        <f t="shared" si="45"/>
        <v>14.539683499895261</v>
      </c>
      <c r="P403" s="335">
        <f t="shared" si="46"/>
        <v>321.95644861111111</v>
      </c>
      <c r="Q403" s="335">
        <f t="shared" si="47"/>
        <v>133.06370847496916</v>
      </c>
      <c r="R403" s="595">
        <v>401</v>
      </c>
    </row>
    <row r="404" spans="1:18" ht="15" customHeight="1">
      <c r="A404" s="607">
        <v>402</v>
      </c>
      <c r="B404" s="799"/>
      <c r="C404" s="333">
        <v>8</v>
      </c>
      <c r="D404" s="334">
        <v>12</v>
      </c>
      <c r="E404" s="337">
        <v>14.58</v>
      </c>
      <c r="F404" s="336" t="s">
        <v>571</v>
      </c>
      <c r="G404" s="334">
        <v>4</v>
      </c>
      <c r="H404" s="335">
        <v>4.75</v>
      </c>
      <c r="I404" s="335">
        <v>171.15</v>
      </c>
      <c r="J404" s="335">
        <v>50.56</v>
      </c>
      <c r="K404" s="335">
        <v>35.979999999999997</v>
      </c>
      <c r="L404" s="356">
        <v>42.79</v>
      </c>
      <c r="M404" s="335">
        <v>85.58</v>
      </c>
      <c r="N404" s="335">
        <f t="shared" si="44"/>
        <v>11.550516267646307</v>
      </c>
      <c r="O404" s="335">
        <f t="shared" si="45"/>
        <v>17.028117751422968</v>
      </c>
      <c r="P404" s="335">
        <f t="shared" si="46"/>
        <v>330.5096666666667</v>
      </c>
      <c r="Q404" s="335">
        <f t="shared" si="47"/>
        <v>136.94313583374381</v>
      </c>
      <c r="R404" s="595">
        <v>402</v>
      </c>
    </row>
    <row r="405" spans="1:18" ht="15" customHeight="1">
      <c r="A405" s="607">
        <v>403</v>
      </c>
      <c r="B405" s="799"/>
      <c r="C405" s="333">
        <v>9</v>
      </c>
      <c r="D405" s="365">
        <v>12</v>
      </c>
      <c r="E405" s="337">
        <v>14.58</v>
      </c>
      <c r="F405" s="336" t="s">
        <v>572</v>
      </c>
      <c r="G405" s="334">
        <v>6</v>
      </c>
      <c r="H405" s="335">
        <v>7.05</v>
      </c>
      <c r="I405" s="335">
        <v>171.15</v>
      </c>
      <c r="J405" s="335">
        <v>51.2</v>
      </c>
      <c r="K405" s="335">
        <v>36.619999999999997</v>
      </c>
      <c r="L405" s="356">
        <v>42.79</v>
      </c>
      <c r="M405" s="335">
        <v>85.58</v>
      </c>
      <c r="N405" s="335">
        <f t="shared" si="44"/>
        <v>12.007428921407989</v>
      </c>
      <c r="O405" s="335">
        <f t="shared" si="45"/>
        <v>17.648643023420512</v>
      </c>
      <c r="P405" s="335">
        <f t="shared" si="46"/>
        <v>334.69333333333333</v>
      </c>
      <c r="Q405" s="335">
        <f t="shared" si="47"/>
        <v>138.82530504537311</v>
      </c>
      <c r="R405" s="595">
        <v>403</v>
      </c>
    </row>
    <row r="406" spans="1:18" ht="15" customHeight="1">
      <c r="A406" s="607">
        <v>404</v>
      </c>
      <c r="B406" s="799"/>
      <c r="C406" s="333">
        <v>10</v>
      </c>
      <c r="D406" s="365">
        <v>12</v>
      </c>
      <c r="E406" s="337">
        <v>14.58</v>
      </c>
      <c r="F406" s="336" t="s">
        <v>573</v>
      </c>
      <c r="G406" s="334">
        <v>8</v>
      </c>
      <c r="H406" s="335">
        <v>9.4</v>
      </c>
      <c r="I406" s="335">
        <v>171.15</v>
      </c>
      <c r="J406" s="335">
        <v>51.5</v>
      </c>
      <c r="K406" s="335">
        <v>36.92</v>
      </c>
      <c r="L406" s="356">
        <v>42.79</v>
      </c>
      <c r="M406" s="335">
        <v>85.58</v>
      </c>
      <c r="N406" s="335">
        <f t="shared" si="44"/>
        <v>12.651528137446064</v>
      </c>
      <c r="O406" s="335">
        <f t="shared" si="45"/>
        <v>18.537902503563078</v>
      </c>
      <c r="P406" s="335">
        <f t="shared" si="46"/>
        <v>336.6544270833333</v>
      </c>
      <c r="Q406" s="335">
        <f t="shared" si="47"/>
        <v>139.89813796935414</v>
      </c>
      <c r="R406" s="595">
        <v>404</v>
      </c>
    </row>
    <row r="407" spans="1:18" ht="15" customHeight="1">
      <c r="A407" s="607">
        <v>405</v>
      </c>
      <c r="B407" s="799"/>
      <c r="C407" s="333">
        <v>11</v>
      </c>
      <c r="D407" s="365">
        <v>12</v>
      </c>
      <c r="E407" s="337">
        <v>14.58</v>
      </c>
      <c r="F407" s="336" t="s">
        <v>574</v>
      </c>
      <c r="G407" s="334">
        <v>10</v>
      </c>
      <c r="H407" s="335">
        <v>12</v>
      </c>
      <c r="I407" s="335">
        <v>171.15</v>
      </c>
      <c r="J407" s="335">
        <v>51.5</v>
      </c>
      <c r="K407" s="335">
        <v>36.92</v>
      </c>
      <c r="L407" s="356">
        <v>42.79</v>
      </c>
      <c r="M407" s="335">
        <v>85.58</v>
      </c>
      <c r="N407" s="335">
        <f t="shared" si="44"/>
        <v>13.467033230440414</v>
      </c>
      <c r="O407" s="335">
        <f t="shared" si="45"/>
        <v>19.798310930624346</v>
      </c>
      <c r="P407" s="335">
        <f t="shared" si="46"/>
        <v>336.6544270833333</v>
      </c>
      <c r="Q407" s="335">
        <f t="shared" si="47"/>
        <v>140.20947969152402</v>
      </c>
      <c r="R407" s="595">
        <v>405</v>
      </c>
    </row>
    <row r="408" spans="1:18" ht="15" customHeight="1">
      <c r="A408" s="607">
        <v>406</v>
      </c>
      <c r="B408" s="799"/>
      <c r="C408" s="333">
        <v>12</v>
      </c>
      <c r="D408" s="365">
        <v>12</v>
      </c>
      <c r="E408" s="337">
        <v>14.58</v>
      </c>
      <c r="F408" s="336" t="s">
        <v>575</v>
      </c>
      <c r="G408" s="334">
        <v>12</v>
      </c>
      <c r="H408" s="335">
        <v>14.58</v>
      </c>
      <c r="I408" s="335">
        <v>171.15</v>
      </c>
      <c r="J408" s="335">
        <v>51.96</v>
      </c>
      <c r="K408" s="335">
        <v>37.380000000000003</v>
      </c>
      <c r="L408" s="356">
        <v>42.79</v>
      </c>
      <c r="M408" s="335">
        <v>85.58</v>
      </c>
      <c r="N408" s="335">
        <f t="shared" si="44"/>
        <v>14.523975536627313</v>
      </c>
      <c r="O408" s="335">
        <f t="shared" si="45"/>
        <v>21.440655786557659</v>
      </c>
      <c r="P408" s="335">
        <f t="shared" si="46"/>
        <v>339.66143750000003</v>
      </c>
      <c r="Q408" s="335">
        <f t="shared" si="47"/>
        <v>141.81228822200427</v>
      </c>
      <c r="R408" s="595">
        <v>406</v>
      </c>
    </row>
    <row r="409" spans="1:18" ht="15" customHeight="1">
      <c r="A409" s="607">
        <v>407</v>
      </c>
      <c r="B409" s="799"/>
      <c r="C409" s="333">
        <v>13</v>
      </c>
      <c r="D409" s="334">
        <v>15</v>
      </c>
      <c r="E409" s="337">
        <v>17.73</v>
      </c>
      <c r="F409" s="336" t="s">
        <v>576</v>
      </c>
      <c r="G409" s="334">
        <v>4</v>
      </c>
      <c r="H409" s="335">
        <v>4.75</v>
      </c>
      <c r="I409" s="335">
        <v>172.9</v>
      </c>
      <c r="J409" s="335">
        <v>53.71</v>
      </c>
      <c r="K409" s="335">
        <v>35.979999999999997</v>
      </c>
      <c r="L409" s="356">
        <v>43.23</v>
      </c>
      <c r="M409" s="335">
        <v>86.45</v>
      </c>
      <c r="N409" s="335">
        <f t="shared" si="44"/>
        <v>18.030460177218693</v>
      </c>
      <c r="O409" s="335">
        <f t="shared" si="45"/>
        <v>25.195333967137493</v>
      </c>
      <c r="P409" s="335">
        <f t="shared" si="46"/>
        <v>354.69114236111113</v>
      </c>
      <c r="Q409" s="335">
        <f t="shared" si="47"/>
        <v>149.82878353480814</v>
      </c>
      <c r="R409" s="595">
        <v>407</v>
      </c>
    </row>
    <row r="410" spans="1:18" ht="15" customHeight="1">
      <c r="A410" s="607">
        <v>408</v>
      </c>
      <c r="B410" s="799"/>
      <c r="C410" s="333">
        <v>14</v>
      </c>
      <c r="D410" s="365">
        <v>15</v>
      </c>
      <c r="E410" s="337">
        <v>17.73</v>
      </c>
      <c r="F410" s="336" t="s">
        <v>577</v>
      </c>
      <c r="G410" s="334">
        <v>6</v>
      </c>
      <c r="H410" s="335">
        <v>7.05</v>
      </c>
      <c r="I410" s="335">
        <v>172.9</v>
      </c>
      <c r="J410" s="335">
        <v>54.35</v>
      </c>
      <c r="K410" s="335">
        <v>36.619999999999997</v>
      </c>
      <c r="L410" s="356">
        <v>43.23</v>
      </c>
      <c r="M410" s="335">
        <v>86.45</v>
      </c>
      <c r="N410" s="335">
        <f t="shared" si="44"/>
        <v>18.487372830980373</v>
      </c>
      <c r="O410" s="335">
        <f t="shared" si="45"/>
        <v>25.815859239135037</v>
      </c>
      <c r="P410" s="335">
        <f t="shared" si="46"/>
        <v>358.91758680555552</v>
      </c>
      <c r="Q410" s="335">
        <f t="shared" si="47"/>
        <v>151.72806385754859</v>
      </c>
      <c r="R410" s="595">
        <v>408</v>
      </c>
    </row>
    <row r="411" spans="1:18" ht="15" customHeight="1">
      <c r="A411" s="607">
        <v>409</v>
      </c>
      <c r="B411" s="799"/>
      <c r="C411" s="333">
        <v>15</v>
      </c>
      <c r="D411" s="365">
        <v>15</v>
      </c>
      <c r="E411" s="337">
        <v>17.73</v>
      </c>
      <c r="F411" s="336" t="s">
        <v>578</v>
      </c>
      <c r="G411" s="334">
        <v>8</v>
      </c>
      <c r="H411" s="335">
        <v>9.4</v>
      </c>
      <c r="I411" s="335">
        <v>172.9</v>
      </c>
      <c r="J411" s="335">
        <v>54.65</v>
      </c>
      <c r="K411" s="335">
        <v>36.92</v>
      </c>
      <c r="L411" s="356">
        <v>43.23</v>
      </c>
      <c r="M411" s="335">
        <v>86.45</v>
      </c>
      <c r="N411" s="335">
        <f t="shared" si="44"/>
        <v>19.131472047018448</v>
      </c>
      <c r="O411" s="335">
        <f t="shared" si="45"/>
        <v>26.705118719277603</v>
      </c>
      <c r="P411" s="335">
        <f t="shared" si="46"/>
        <v>360.89873263888887</v>
      </c>
      <c r="Q411" s="335">
        <f t="shared" si="47"/>
        <v>152.80891761486293</v>
      </c>
      <c r="R411" s="595">
        <v>409</v>
      </c>
    </row>
    <row r="412" spans="1:18" ht="15" customHeight="1">
      <c r="A412" s="607">
        <v>410</v>
      </c>
      <c r="B412" s="799"/>
      <c r="C412" s="333">
        <v>16</v>
      </c>
      <c r="D412" s="365">
        <v>15</v>
      </c>
      <c r="E412" s="337">
        <v>17.73</v>
      </c>
      <c r="F412" s="336" t="s">
        <v>579</v>
      </c>
      <c r="G412" s="334">
        <v>10</v>
      </c>
      <c r="H412" s="335">
        <v>12</v>
      </c>
      <c r="I412" s="335">
        <v>172.9</v>
      </c>
      <c r="J412" s="335">
        <v>54.65</v>
      </c>
      <c r="K412" s="335">
        <v>36.92</v>
      </c>
      <c r="L412" s="356">
        <v>43.23</v>
      </c>
      <c r="M412" s="335">
        <v>86.45</v>
      </c>
      <c r="N412" s="335">
        <f t="shared" si="44"/>
        <v>19.946977140012798</v>
      </c>
      <c r="O412" s="335">
        <f t="shared" si="45"/>
        <v>27.965527146338871</v>
      </c>
      <c r="P412" s="335">
        <f t="shared" si="46"/>
        <v>360.89873263888887</v>
      </c>
      <c r="Q412" s="335">
        <f t="shared" si="47"/>
        <v>153.12025933703279</v>
      </c>
      <c r="R412" s="595">
        <v>410</v>
      </c>
    </row>
    <row r="413" spans="1:18" ht="15" customHeight="1">
      <c r="A413" s="607">
        <v>411</v>
      </c>
      <c r="B413" s="799"/>
      <c r="C413" s="333">
        <v>17</v>
      </c>
      <c r="D413" s="365">
        <v>15</v>
      </c>
      <c r="E413" s="337">
        <v>17.73</v>
      </c>
      <c r="F413" s="336" t="s">
        <v>580</v>
      </c>
      <c r="G413" s="334">
        <v>12</v>
      </c>
      <c r="H413" s="335">
        <v>14.58</v>
      </c>
      <c r="I413" s="335">
        <v>172.9</v>
      </c>
      <c r="J413" s="335">
        <v>55.11</v>
      </c>
      <c r="K413" s="335">
        <v>37.380000000000003</v>
      </c>
      <c r="L413" s="356">
        <v>43.23</v>
      </c>
      <c r="M413" s="335">
        <v>86.45</v>
      </c>
      <c r="N413" s="335">
        <f t="shared" si="44"/>
        <v>21.003919446199696</v>
      </c>
      <c r="O413" s="335">
        <f t="shared" si="45"/>
        <v>29.607872002272185</v>
      </c>
      <c r="P413" s="335">
        <f t="shared" si="46"/>
        <v>363.9364895833333</v>
      </c>
      <c r="Q413" s="335">
        <f t="shared" si="47"/>
        <v>154.73536647862414</v>
      </c>
      <c r="R413" s="595">
        <v>411</v>
      </c>
    </row>
    <row r="414" spans="1:18" ht="15" customHeight="1">
      <c r="A414" s="607">
        <v>412</v>
      </c>
      <c r="B414" s="799"/>
      <c r="C414" s="333">
        <v>18</v>
      </c>
      <c r="D414" s="365">
        <v>15</v>
      </c>
      <c r="E414" s="337">
        <v>17.73</v>
      </c>
      <c r="F414" s="336" t="s">
        <v>581</v>
      </c>
      <c r="G414" s="365">
        <v>15</v>
      </c>
      <c r="H414" s="335">
        <v>17.73</v>
      </c>
      <c r="I414" s="335">
        <v>172.9</v>
      </c>
      <c r="J414" s="335">
        <v>53.86</v>
      </c>
      <c r="K414" s="335">
        <v>36.130000000000003</v>
      </c>
      <c r="L414" s="356">
        <v>43.23</v>
      </c>
      <c r="M414" s="335">
        <v>86.45</v>
      </c>
      <c r="N414" s="335">
        <f t="shared" si="44"/>
        <v>22.617012736585895</v>
      </c>
      <c r="O414" s="335">
        <f t="shared" si="45"/>
        <v>31.598771302589835</v>
      </c>
      <c r="P414" s="335">
        <f t="shared" si="46"/>
        <v>355.68171527777776</v>
      </c>
      <c r="Q414" s="335">
        <f t="shared" si="47"/>
        <v>152.25019032666108</v>
      </c>
      <c r="R414" s="595">
        <v>412</v>
      </c>
    </row>
    <row r="415" spans="1:18" ht="15" customHeight="1">
      <c r="A415" s="607">
        <v>413</v>
      </c>
      <c r="B415" s="799"/>
      <c r="C415" s="333">
        <v>19</v>
      </c>
      <c r="D415" s="334">
        <v>18</v>
      </c>
      <c r="E415" s="337">
        <v>21.45</v>
      </c>
      <c r="F415" s="336" t="s">
        <v>582</v>
      </c>
      <c r="G415" s="334">
        <v>4</v>
      </c>
      <c r="H415" s="335">
        <v>4.75</v>
      </c>
      <c r="I415" s="335">
        <v>171.85</v>
      </c>
      <c r="J415" s="335">
        <v>57.43</v>
      </c>
      <c r="K415" s="335">
        <v>35.979999999999997</v>
      </c>
      <c r="L415" s="356">
        <v>42.96</v>
      </c>
      <c r="M415" s="335">
        <v>85.93</v>
      </c>
      <c r="N415" s="335">
        <f t="shared" si="44"/>
        <v>25.655776408412354</v>
      </c>
      <c r="O415" s="335">
        <f t="shared" si="45"/>
        <v>36.429526677067464</v>
      </c>
      <c r="P415" s="335">
        <f t="shared" si="46"/>
        <v>376.95416840277784</v>
      </c>
      <c r="Q415" s="335">
        <f t="shared" si="47"/>
        <v>161.86563309869649</v>
      </c>
      <c r="R415" s="595">
        <v>413</v>
      </c>
    </row>
    <row r="416" spans="1:18" ht="15" customHeight="1">
      <c r="A416" s="607">
        <v>414</v>
      </c>
      <c r="B416" s="799"/>
      <c r="C416" s="333">
        <v>20</v>
      </c>
      <c r="D416" s="365">
        <v>18</v>
      </c>
      <c r="E416" s="337">
        <v>21.45</v>
      </c>
      <c r="F416" s="336" t="s">
        <v>583</v>
      </c>
      <c r="G416" s="334">
        <v>6</v>
      </c>
      <c r="H416" s="335">
        <v>7.05</v>
      </c>
      <c r="I416" s="335">
        <v>171.85</v>
      </c>
      <c r="J416" s="335">
        <v>58.07</v>
      </c>
      <c r="K416" s="335">
        <v>36.619999999999997</v>
      </c>
      <c r="L416" s="356">
        <v>42.96</v>
      </c>
      <c r="M416" s="335">
        <v>85.93</v>
      </c>
      <c r="N416" s="335">
        <f t="shared" si="44"/>
        <v>26.112689062174034</v>
      </c>
      <c r="O416" s="335">
        <f t="shared" si="45"/>
        <v>37.050051949065008</v>
      </c>
      <c r="P416" s="335">
        <f t="shared" si="46"/>
        <v>381.15494618055556</v>
      </c>
      <c r="Q416" s="335">
        <f t="shared" si="47"/>
        <v>163.75464675477028</v>
      </c>
      <c r="R416" s="595">
        <v>414</v>
      </c>
    </row>
    <row r="417" spans="1:18" ht="15" customHeight="1">
      <c r="A417" s="607">
        <v>415</v>
      </c>
      <c r="B417" s="799"/>
      <c r="C417" s="333">
        <v>21</v>
      </c>
      <c r="D417" s="365">
        <v>18</v>
      </c>
      <c r="E417" s="337">
        <v>21.45</v>
      </c>
      <c r="F417" s="336" t="s">
        <v>584</v>
      </c>
      <c r="G417" s="334">
        <v>8</v>
      </c>
      <c r="H417" s="335">
        <v>9.4</v>
      </c>
      <c r="I417" s="335">
        <v>171.85</v>
      </c>
      <c r="J417" s="335">
        <v>58.37</v>
      </c>
      <c r="K417" s="335">
        <v>36.92</v>
      </c>
      <c r="L417" s="356">
        <v>42.96</v>
      </c>
      <c r="M417" s="335">
        <v>85.93</v>
      </c>
      <c r="N417" s="335">
        <f t="shared" si="44"/>
        <v>26.75678827821211</v>
      </c>
      <c r="O417" s="335">
        <f t="shared" si="45"/>
        <v>37.939311429207578</v>
      </c>
      <c r="P417" s="335">
        <f t="shared" si="46"/>
        <v>383.12406076388885</v>
      </c>
      <c r="Q417" s="335">
        <f t="shared" si="47"/>
        <v>164.83068801208461</v>
      </c>
      <c r="R417" s="595">
        <v>415</v>
      </c>
    </row>
    <row r="418" spans="1:18" ht="15" customHeight="1">
      <c r="A418" s="607">
        <v>416</v>
      </c>
      <c r="B418" s="799"/>
      <c r="C418" s="333">
        <v>22</v>
      </c>
      <c r="D418" s="365">
        <v>18</v>
      </c>
      <c r="E418" s="337">
        <v>21.45</v>
      </c>
      <c r="F418" s="336" t="s">
        <v>585</v>
      </c>
      <c r="G418" s="334">
        <v>10</v>
      </c>
      <c r="H418" s="335">
        <v>12</v>
      </c>
      <c r="I418" s="335">
        <v>171.85</v>
      </c>
      <c r="J418" s="335">
        <v>58.37</v>
      </c>
      <c r="K418" s="335">
        <v>36.92</v>
      </c>
      <c r="L418" s="356">
        <v>42.96</v>
      </c>
      <c r="M418" s="335">
        <v>85.93</v>
      </c>
      <c r="N418" s="335">
        <f t="shared" si="44"/>
        <v>27.57229337120646</v>
      </c>
      <c r="O418" s="335">
        <f t="shared" si="45"/>
        <v>39.199719856268842</v>
      </c>
      <c r="P418" s="335">
        <f t="shared" si="46"/>
        <v>383.12406076388885</v>
      </c>
      <c r="Q418" s="335">
        <f t="shared" si="47"/>
        <v>165.14202973425446</v>
      </c>
      <c r="R418" s="595">
        <v>416</v>
      </c>
    </row>
    <row r="419" spans="1:18" ht="15" customHeight="1">
      <c r="A419" s="607">
        <v>417</v>
      </c>
      <c r="B419" s="799"/>
      <c r="C419" s="333">
        <v>23</v>
      </c>
      <c r="D419" s="365">
        <v>18</v>
      </c>
      <c r="E419" s="337">
        <v>21.45</v>
      </c>
      <c r="F419" s="336" t="s">
        <v>586</v>
      </c>
      <c r="G419" s="334">
        <v>12</v>
      </c>
      <c r="H419" s="335">
        <v>14.58</v>
      </c>
      <c r="I419" s="335">
        <v>171.85</v>
      </c>
      <c r="J419" s="335">
        <v>58.83</v>
      </c>
      <c r="K419" s="335">
        <v>37.380000000000003</v>
      </c>
      <c r="L419" s="356">
        <v>42.96</v>
      </c>
      <c r="M419" s="335">
        <v>85.93</v>
      </c>
      <c r="N419" s="335">
        <f t="shared" si="44"/>
        <v>28.629235677393361</v>
      </c>
      <c r="O419" s="335">
        <f t="shared" si="45"/>
        <v>40.842064712202159</v>
      </c>
      <c r="P419" s="335">
        <f t="shared" si="46"/>
        <v>386.14336979166666</v>
      </c>
      <c r="Q419" s="335">
        <f t="shared" si="47"/>
        <v>166.74975770917916</v>
      </c>
      <c r="R419" s="595">
        <v>417</v>
      </c>
    </row>
    <row r="420" spans="1:18" ht="15" customHeight="1">
      <c r="A420" s="607">
        <v>418</v>
      </c>
      <c r="B420" s="799"/>
      <c r="C420" s="333">
        <v>24</v>
      </c>
      <c r="D420" s="365">
        <v>18</v>
      </c>
      <c r="E420" s="337">
        <v>21.45</v>
      </c>
      <c r="F420" s="336" t="s">
        <v>587</v>
      </c>
      <c r="G420" s="365">
        <v>15</v>
      </c>
      <c r="H420" s="335">
        <v>17.73</v>
      </c>
      <c r="I420" s="335">
        <v>171.85</v>
      </c>
      <c r="J420" s="335">
        <v>57.58</v>
      </c>
      <c r="K420" s="335">
        <v>36.130000000000003</v>
      </c>
      <c r="L420" s="356">
        <v>42.96</v>
      </c>
      <c r="M420" s="335">
        <v>85.93</v>
      </c>
      <c r="N420" s="335">
        <f t="shared" si="44"/>
        <v>30.242328967779557</v>
      </c>
      <c r="O420" s="335">
        <f t="shared" si="45"/>
        <v>42.83296401251981</v>
      </c>
      <c r="P420" s="335">
        <f t="shared" si="46"/>
        <v>377.93872569444443</v>
      </c>
      <c r="Q420" s="335">
        <f t="shared" si="47"/>
        <v>164.28463364054943</v>
      </c>
      <c r="R420" s="595">
        <v>418</v>
      </c>
    </row>
    <row r="421" spans="1:18" ht="15" customHeight="1">
      <c r="A421" s="607">
        <v>419</v>
      </c>
      <c r="B421" s="799"/>
      <c r="C421" s="333">
        <v>25</v>
      </c>
      <c r="D421" s="365">
        <v>18</v>
      </c>
      <c r="E421" s="337">
        <v>21.45</v>
      </c>
      <c r="F421" s="336" t="s">
        <v>588</v>
      </c>
      <c r="G421" s="365">
        <v>18</v>
      </c>
      <c r="H421" s="335">
        <v>21.45</v>
      </c>
      <c r="I421" s="335">
        <v>171.85</v>
      </c>
      <c r="J421" s="335">
        <v>59.97</v>
      </c>
      <c r="K421" s="335">
        <v>38.520000000000003</v>
      </c>
      <c r="L421" s="356">
        <v>42.96</v>
      </c>
      <c r="M421" s="335">
        <v>85.93</v>
      </c>
      <c r="N421" s="335">
        <f t="shared" si="44"/>
        <v>33.117786181209773</v>
      </c>
      <c r="O421" s="335">
        <f t="shared" si="45"/>
        <v>47.029556223580464</v>
      </c>
      <c r="P421" s="335">
        <f t="shared" si="46"/>
        <v>393.62600520833331</v>
      </c>
      <c r="Q421" s="335">
        <f t="shared" si="47"/>
        <v>171.75636577511091</v>
      </c>
      <c r="R421" s="595">
        <v>419</v>
      </c>
    </row>
    <row r="422" spans="1:18" ht="15" customHeight="1">
      <c r="A422" s="607">
        <v>420</v>
      </c>
      <c r="B422" s="799"/>
      <c r="C422" s="333">
        <v>26</v>
      </c>
      <c r="D422" s="334">
        <v>24</v>
      </c>
      <c r="E422" s="335">
        <v>28.2</v>
      </c>
      <c r="F422" s="336" t="s">
        <v>589</v>
      </c>
      <c r="G422" s="334">
        <v>4</v>
      </c>
      <c r="H422" s="335">
        <v>4.75</v>
      </c>
      <c r="I422" s="335">
        <v>173.11</v>
      </c>
      <c r="J422" s="335">
        <v>64.180000000000007</v>
      </c>
      <c r="K422" s="335">
        <v>35.979999999999997</v>
      </c>
      <c r="L422" s="356">
        <v>43.28</v>
      </c>
      <c r="M422" s="335">
        <v>86.56</v>
      </c>
      <c r="N422" s="335">
        <f t="shared" si="44"/>
        <v>45.668866984100958</v>
      </c>
      <c r="O422" s="335">
        <f t="shared" si="45"/>
        <v>63.061879240526565</v>
      </c>
      <c r="P422" s="335">
        <f t="shared" si="46"/>
        <v>424.34790902777786</v>
      </c>
      <c r="Q422" s="335">
        <f t="shared" si="47"/>
        <v>190.18327889900149</v>
      </c>
      <c r="R422" s="595">
        <v>420</v>
      </c>
    </row>
    <row r="423" spans="1:18" ht="15" customHeight="1">
      <c r="A423" s="607">
        <v>421</v>
      </c>
      <c r="B423" s="799"/>
      <c r="C423" s="333">
        <v>27</v>
      </c>
      <c r="D423" s="365">
        <v>24</v>
      </c>
      <c r="E423" s="335">
        <v>28.2</v>
      </c>
      <c r="F423" s="336" t="s">
        <v>590</v>
      </c>
      <c r="G423" s="334">
        <v>6</v>
      </c>
      <c r="H423" s="335">
        <v>7.05</v>
      </c>
      <c r="I423" s="335">
        <v>173.11</v>
      </c>
      <c r="J423" s="335">
        <v>64.819999999999993</v>
      </c>
      <c r="K423" s="335">
        <v>36.619999999999997</v>
      </c>
      <c r="L423" s="356">
        <v>43.28</v>
      </c>
      <c r="M423" s="335">
        <v>86.56</v>
      </c>
      <c r="N423" s="335">
        <f t="shared" si="44"/>
        <v>46.125779637862642</v>
      </c>
      <c r="O423" s="335">
        <f t="shared" si="45"/>
        <v>63.682404512524108</v>
      </c>
      <c r="P423" s="335">
        <f t="shared" si="46"/>
        <v>428.57948680555552</v>
      </c>
      <c r="Q423" s="335">
        <f t="shared" si="47"/>
        <v>192.08461255507521</v>
      </c>
      <c r="R423" s="595">
        <v>421</v>
      </c>
    </row>
    <row r="424" spans="1:18" ht="15" customHeight="1">
      <c r="A424" s="607">
        <v>422</v>
      </c>
      <c r="B424" s="799"/>
      <c r="C424" s="333">
        <v>28</v>
      </c>
      <c r="D424" s="365">
        <v>24</v>
      </c>
      <c r="E424" s="335">
        <v>28.2</v>
      </c>
      <c r="F424" s="336" t="s">
        <v>591</v>
      </c>
      <c r="G424" s="334">
        <v>8</v>
      </c>
      <c r="H424" s="335">
        <v>9.4</v>
      </c>
      <c r="I424" s="335">
        <v>173.11</v>
      </c>
      <c r="J424" s="335">
        <v>65.12</v>
      </c>
      <c r="K424" s="335">
        <v>36.92</v>
      </c>
      <c r="L424" s="356">
        <v>43.28</v>
      </c>
      <c r="M424" s="335">
        <v>86.56</v>
      </c>
      <c r="N424" s="335">
        <f t="shared" si="44"/>
        <v>46.769878853900714</v>
      </c>
      <c r="O424" s="335">
        <f t="shared" si="45"/>
        <v>64.571663992666672</v>
      </c>
      <c r="P424" s="335">
        <f t="shared" si="46"/>
        <v>430.56303888888897</v>
      </c>
      <c r="Q424" s="335">
        <f t="shared" si="47"/>
        <v>193.16642881238963</v>
      </c>
      <c r="R424" s="595">
        <v>422</v>
      </c>
    </row>
    <row r="425" spans="1:18" ht="15" customHeight="1">
      <c r="A425" s="607">
        <v>423</v>
      </c>
      <c r="B425" s="799"/>
      <c r="C425" s="333">
        <v>29</v>
      </c>
      <c r="D425" s="365">
        <v>24</v>
      </c>
      <c r="E425" s="335">
        <v>28.2</v>
      </c>
      <c r="F425" s="336" t="s">
        <v>592</v>
      </c>
      <c r="G425" s="334">
        <v>10</v>
      </c>
      <c r="H425" s="335">
        <v>12</v>
      </c>
      <c r="I425" s="335">
        <v>173.11</v>
      </c>
      <c r="J425" s="335">
        <v>65.12</v>
      </c>
      <c r="K425" s="335">
        <v>36.92</v>
      </c>
      <c r="L425" s="356">
        <v>43.28</v>
      </c>
      <c r="M425" s="335">
        <v>86.56</v>
      </c>
      <c r="N425" s="335">
        <f t="shared" si="44"/>
        <v>47.585383946895064</v>
      </c>
      <c r="O425" s="335">
        <f t="shared" si="45"/>
        <v>65.83207241972795</v>
      </c>
      <c r="P425" s="335">
        <f t="shared" si="46"/>
        <v>430.56303888888897</v>
      </c>
      <c r="Q425" s="335">
        <f t="shared" si="47"/>
        <v>193.47777053455945</v>
      </c>
      <c r="R425" s="595">
        <v>423</v>
      </c>
    </row>
    <row r="426" spans="1:18" ht="15" customHeight="1">
      <c r="A426" s="607">
        <v>424</v>
      </c>
      <c r="B426" s="799"/>
      <c r="C426" s="333">
        <v>30</v>
      </c>
      <c r="D426" s="365">
        <v>24</v>
      </c>
      <c r="E426" s="335">
        <v>28.2</v>
      </c>
      <c r="F426" s="336" t="s">
        <v>593</v>
      </c>
      <c r="G426" s="334">
        <v>12</v>
      </c>
      <c r="H426" s="335">
        <v>14.58</v>
      </c>
      <c r="I426" s="335">
        <v>173.11</v>
      </c>
      <c r="J426" s="335">
        <v>65.58</v>
      </c>
      <c r="K426" s="335">
        <v>37.380000000000003</v>
      </c>
      <c r="L426" s="356">
        <v>43.28</v>
      </c>
      <c r="M426" s="335">
        <v>86.56</v>
      </c>
      <c r="N426" s="335">
        <f t="shared" si="44"/>
        <v>48.642326253081968</v>
      </c>
      <c r="O426" s="335">
        <f t="shared" si="45"/>
        <v>67.474417275661253</v>
      </c>
      <c r="P426" s="335">
        <f t="shared" si="46"/>
        <v>433.60448541666665</v>
      </c>
      <c r="Q426" s="335">
        <f t="shared" si="47"/>
        <v>195.09435350948411</v>
      </c>
      <c r="R426" s="595">
        <v>424</v>
      </c>
    </row>
    <row r="427" spans="1:18" ht="15" customHeight="1">
      <c r="A427" s="607">
        <v>425</v>
      </c>
      <c r="B427" s="799"/>
      <c r="C427" s="333">
        <v>31</v>
      </c>
      <c r="D427" s="365">
        <v>24</v>
      </c>
      <c r="E427" s="335">
        <v>28.2</v>
      </c>
      <c r="F427" s="336" t="s">
        <v>594</v>
      </c>
      <c r="G427" s="365">
        <v>15</v>
      </c>
      <c r="H427" s="335">
        <v>17.73</v>
      </c>
      <c r="I427" s="335">
        <v>173.11</v>
      </c>
      <c r="J427" s="335">
        <v>64.33</v>
      </c>
      <c r="K427" s="335">
        <v>36.130000000000003</v>
      </c>
      <c r="L427" s="356">
        <v>43.28</v>
      </c>
      <c r="M427" s="335">
        <v>86.56</v>
      </c>
      <c r="N427" s="335">
        <f t="shared" si="44"/>
        <v>50.255419543468165</v>
      </c>
      <c r="O427" s="335">
        <f t="shared" si="45"/>
        <v>69.465316575978903</v>
      </c>
      <c r="P427" s="335">
        <f t="shared" si="46"/>
        <v>425.33968506944444</v>
      </c>
      <c r="Q427" s="335">
        <f t="shared" si="47"/>
        <v>192.60516694085442</v>
      </c>
      <c r="R427" s="595">
        <v>425</v>
      </c>
    </row>
    <row r="428" spans="1:18" ht="15" customHeight="1">
      <c r="A428" s="607">
        <v>426</v>
      </c>
      <c r="B428" s="799"/>
      <c r="C428" s="333">
        <v>32</v>
      </c>
      <c r="D428" s="365">
        <v>24</v>
      </c>
      <c r="E428" s="335">
        <v>28.2</v>
      </c>
      <c r="F428" s="336" t="s">
        <v>595</v>
      </c>
      <c r="G428" s="365">
        <v>18</v>
      </c>
      <c r="H428" s="335">
        <v>21.45</v>
      </c>
      <c r="I428" s="335">
        <v>173.11</v>
      </c>
      <c r="J428" s="335">
        <v>66.72</v>
      </c>
      <c r="K428" s="335">
        <v>38.520000000000003</v>
      </c>
      <c r="L428" s="356">
        <v>43.28</v>
      </c>
      <c r="M428" s="335">
        <v>86.56</v>
      </c>
      <c r="N428" s="335">
        <f t="shared" si="44"/>
        <v>53.130876756898381</v>
      </c>
      <c r="O428" s="335">
        <f t="shared" si="45"/>
        <v>73.661908787039565</v>
      </c>
      <c r="P428" s="335">
        <f t="shared" si="46"/>
        <v>441.14198333333331</v>
      </c>
      <c r="Q428" s="335">
        <f t="shared" si="47"/>
        <v>200.12290657541587</v>
      </c>
      <c r="R428" s="595">
        <v>426</v>
      </c>
    </row>
    <row r="429" spans="1:18" ht="15" customHeight="1">
      <c r="A429" s="607">
        <v>427</v>
      </c>
      <c r="B429" s="799"/>
      <c r="C429" s="333">
        <v>33</v>
      </c>
      <c r="D429" s="365">
        <v>24</v>
      </c>
      <c r="E429" s="335">
        <v>28.2</v>
      </c>
      <c r="F429" s="336" t="s">
        <v>596</v>
      </c>
      <c r="G429" s="365">
        <v>24</v>
      </c>
      <c r="H429" s="335">
        <v>28.2</v>
      </c>
      <c r="I429" s="335">
        <v>173.11</v>
      </c>
      <c r="J429" s="335">
        <v>67.540000000000006</v>
      </c>
      <c r="K429" s="335">
        <v>39.340000000000003</v>
      </c>
      <c r="L429" s="356">
        <v>43.28</v>
      </c>
      <c r="M429" s="335">
        <v>86.56</v>
      </c>
      <c r="N429" s="335">
        <f t="shared" si="44"/>
        <v>59.635282546768252</v>
      </c>
      <c r="O429" s="335">
        <f t="shared" si="45"/>
        <v>82.333961966131909</v>
      </c>
      <c r="P429" s="335">
        <f t="shared" si="46"/>
        <v>446.56369236111118</v>
      </c>
      <c r="Q429" s="335">
        <f t="shared" si="47"/>
        <v>205.32717470475995</v>
      </c>
      <c r="R429" s="595">
        <v>427</v>
      </c>
    </row>
    <row r="430" spans="1:18" ht="15" customHeight="1">
      <c r="A430" s="607">
        <v>428</v>
      </c>
      <c r="B430" s="799"/>
      <c r="C430" s="333">
        <v>34</v>
      </c>
      <c r="D430" s="334">
        <v>30</v>
      </c>
      <c r="E430" s="335">
        <v>34.89</v>
      </c>
      <c r="F430" s="336" t="s">
        <v>597</v>
      </c>
      <c r="G430" s="334">
        <v>4</v>
      </c>
      <c r="H430" s="335">
        <v>4.75</v>
      </c>
      <c r="I430" s="335">
        <v>172</v>
      </c>
      <c r="J430" s="335">
        <v>70.87</v>
      </c>
      <c r="K430" s="335">
        <v>35.979999999999997</v>
      </c>
      <c r="L430" s="356">
        <v>43</v>
      </c>
      <c r="M430" s="335">
        <v>86</v>
      </c>
      <c r="N430" s="335">
        <f t="shared" si="44"/>
        <v>70.707360433211619</v>
      </c>
      <c r="O430" s="335">
        <f t="shared" si="45"/>
        <v>95.656668784729987</v>
      </c>
      <c r="P430" s="335">
        <f t="shared" si="46"/>
        <v>465.57652777777781</v>
      </c>
      <c r="Q430" s="335">
        <f t="shared" si="47"/>
        <v>218.67530403043074</v>
      </c>
      <c r="R430" s="595">
        <v>428</v>
      </c>
    </row>
    <row r="431" spans="1:18" ht="15" customHeight="1">
      <c r="A431" s="607">
        <v>429</v>
      </c>
      <c r="B431" s="799"/>
      <c r="C431" s="333">
        <v>35</v>
      </c>
      <c r="D431" s="365">
        <v>30</v>
      </c>
      <c r="E431" s="335">
        <v>34.89</v>
      </c>
      <c r="F431" s="336" t="s">
        <v>598</v>
      </c>
      <c r="G431" s="334">
        <v>6</v>
      </c>
      <c r="H431" s="335">
        <v>7.05</v>
      </c>
      <c r="I431" s="335">
        <v>172</v>
      </c>
      <c r="J431" s="335">
        <v>71.510000000000005</v>
      </c>
      <c r="K431" s="335">
        <v>36.619999999999997</v>
      </c>
      <c r="L431" s="356">
        <v>43</v>
      </c>
      <c r="M431" s="335">
        <v>86</v>
      </c>
      <c r="N431" s="335">
        <f t="shared" si="44"/>
        <v>71.164273086973296</v>
      </c>
      <c r="O431" s="335">
        <f t="shared" si="45"/>
        <v>96.277194056727524</v>
      </c>
      <c r="P431" s="335">
        <f t="shared" si="46"/>
        <v>469.78097222222226</v>
      </c>
      <c r="Q431" s="335">
        <f t="shared" si="47"/>
        <v>220.56578435317118</v>
      </c>
      <c r="R431" s="595">
        <v>429</v>
      </c>
    </row>
    <row r="432" spans="1:18" ht="15" customHeight="1">
      <c r="A432" s="607">
        <v>430</v>
      </c>
      <c r="B432" s="799"/>
      <c r="C432" s="333">
        <v>36</v>
      </c>
      <c r="D432" s="365">
        <v>30</v>
      </c>
      <c r="E432" s="335">
        <v>34.89</v>
      </c>
      <c r="F432" s="336" t="s">
        <v>599</v>
      </c>
      <c r="G432" s="334">
        <v>8</v>
      </c>
      <c r="H432" s="335">
        <v>9.4</v>
      </c>
      <c r="I432" s="335">
        <v>172</v>
      </c>
      <c r="J432" s="335">
        <v>71.81</v>
      </c>
      <c r="K432" s="335">
        <v>36.92</v>
      </c>
      <c r="L432" s="356">
        <v>43</v>
      </c>
      <c r="M432" s="335">
        <v>86</v>
      </c>
      <c r="N432" s="335">
        <f t="shared" si="44"/>
        <v>71.808372303011367</v>
      </c>
      <c r="O432" s="335">
        <f t="shared" si="45"/>
        <v>97.166453536870094</v>
      </c>
      <c r="P432" s="335">
        <f t="shared" si="46"/>
        <v>471.75180555555556</v>
      </c>
      <c r="Q432" s="335">
        <f t="shared" si="47"/>
        <v>221.64251311048557</v>
      </c>
      <c r="R432" s="595">
        <v>430</v>
      </c>
    </row>
    <row r="433" spans="1:18" ht="15" customHeight="1">
      <c r="A433" s="607">
        <v>431</v>
      </c>
      <c r="B433" s="799"/>
      <c r="C433" s="333">
        <v>37</v>
      </c>
      <c r="D433" s="365">
        <v>30</v>
      </c>
      <c r="E433" s="335">
        <v>34.89</v>
      </c>
      <c r="F433" s="336" t="s">
        <v>600</v>
      </c>
      <c r="G433" s="334">
        <v>10</v>
      </c>
      <c r="H433" s="335">
        <v>12</v>
      </c>
      <c r="I433" s="335">
        <v>172</v>
      </c>
      <c r="J433" s="335">
        <v>71.81</v>
      </c>
      <c r="K433" s="335">
        <v>36.92</v>
      </c>
      <c r="L433" s="356">
        <v>43</v>
      </c>
      <c r="M433" s="335">
        <v>86</v>
      </c>
      <c r="N433" s="335">
        <f t="shared" si="44"/>
        <v>72.623877396005724</v>
      </c>
      <c r="O433" s="335">
        <f t="shared" si="45"/>
        <v>98.426861963931358</v>
      </c>
      <c r="P433" s="335">
        <f t="shared" si="46"/>
        <v>471.75180555555556</v>
      </c>
      <c r="Q433" s="335">
        <f t="shared" si="47"/>
        <v>221.95385483265542</v>
      </c>
      <c r="R433" s="595">
        <v>431</v>
      </c>
    </row>
    <row r="434" spans="1:18" ht="15" customHeight="1">
      <c r="A434" s="607">
        <v>432</v>
      </c>
      <c r="B434" s="799"/>
      <c r="C434" s="333">
        <v>38</v>
      </c>
      <c r="D434" s="365">
        <v>30</v>
      </c>
      <c r="E434" s="335">
        <v>34.89</v>
      </c>
      <c r="F434" s="336" t="s">
        <v>601</v>
      </c>
      <c r="G434" s="334">
        <v>12</v>
      </c>
      <c r="H434" s="335">
        <v>14.58</v>
      </c>
      <c r="I434" s="335">
        <v>172</v>
      </c>
      <c r="J434" s="335">
        <v>72.27</v>
      </c>
      <c r="K434" s="335">
        <v>37.380000000000003</v>
      </c>
      <c r="L434" s="356">
        <v>43</v>
      </c>
      <c r="M434" s="335">
        <v>86</v>
      </c>
      <c r="N434" s="335">
        <f t="shared" si="44"/>
        <v>73.680819702192622</v>
      </c>
      <c r="O434" s="335">
        <f t="shared" si="45"/>
        <v>100.06920681986468</v>
      </c>
      <c r="P434" s="335">
        <f t="shared" si="46"/>
        <v>474.77374999999995</v>
      </c>
      <c r="Q434" s="335">
        <f t="shared" si="47"/>
        <v>223.56263697424674</v>
      </c>
      <c r="R434" s="595">
        <v>432</v>
      </c>
    </row>
    <row r="435" spans="1:18" ht="15" customHeight="1">
      <c r="A435" s="607">
        <v>433</v>
      </c>
      <c r="B435" s="799"/>
      <c r="C435" s="333">
        <v>39</v>
      </c>
      <c r="D435" s="365">
        <v>30</v>
      </c>
      <c r="E435" s="335">
        <v>34.89</v>
      </c>
      <c r="F435" s="336" t="s">
        <v>602</v>
      </c>
      <c r="G435" s="365">
        <v>15</v>
      </c>
      <c r="H435" s="335">
        <v>17.73</v>
      </c>
      <c r="I435" s="335">
        <v>172</v>
      </c>
      <c r="J435" s="335">
        <v>71.02</v>
      </c>
      <c r="K435" s="335">
        <v>36.130000000000003</v>
      </c>
      <c r="L435" s="356">
        <v>43</v>
      </c>
      <c r="M435" s="335">
        <v>86</v>
      </c>
      <c r="N435" s="335">
        <f t="shared" si="44"/>
        <v>75.293912992578811</v>
      </c>
      <c r="O435" s="335">
        <f t="shared" si="45"/>
        <v>102.06010612018233</v>
      </c>
      <c r="P435" s="335">
        <f t="shared" si="46"/>
        <v>466.56194444444441</v>
      </c>
      <c r="Q435" s="335">
        <f t="shared" si="47"/>
        <v>221.09464832228363</v>
      </c>
      <c r="R435" s="595">
        <v>433</v>
      </c>
    </row>
    <row r="436" spans="1:18" ht="15" customHeight="1">
      <c r="A436" s="607">
        <v>434</v>
      </c>
      <c r="B436" s="799"/>
      <c r="C436" s="333">
        <v>40</v>
      </c>
      <c r="D436" s="365">
        <v>30</v>
      </c>
      <c r="E436" s="335">
        <v>34.89</v>
      </c>
      <c r="F436" s="336" t="s">
        <v>603</v>
      </c>
      <c r="G436" s="365">
        <v>18</v>
      </c>
      <c r="H436" s="335">
        <v>21.45</v>
      </c>
      <c r="I436" s="335">
        <v>172</v>
      </c>
      <c r="J436" s="335">
        <v>73.41</v>
      </c>
      <c r="K436" s="335">
        <v>38.520000000000003</v>
      </c>
      <c r="L436" s="356">
        <v>43</v>
      </c>
      <c r="M436" s="335">
        <v>86</v>
      </c>
      <c r="N436" s="335">
        <f t="shared" si="44"/>
        <v>78.169370206009035</v>
      </c>
      <c r="O436" s="335">
        <f t="shared" si="45"/>
        <v>106.25669833124297</v>
      </c>
      <c r="P436" s="335">
        <f t="shared" si="46"/>
        <v>482.26291666666663</v>
      </c>
      <c r="Q436" s="335">
        <f t="shared" si="47"/>
        <v>228.57185754017851</v>
      </c>
      <c r="R436" s="595">
        <v>434</v>
      </c>
    </row>
    <row r="437" spans="1:18" ht="15" customHeight="1">
      <c r="A437" s="607">
        <v>435</v>
      </c>
      <c r="B437" s="799"/>
      <c r="C437" s="333">
        <v>41</v>
      </c>
      <c r="D437" s="365">
        <v>30</v>
      </c>
      <c r="E437" s="335">
        <v>34.89</v>
      </c>
      <c r="F437" s="336" t="s">
        <v>604</v>
      </c>
      <c r="G437" s="365">
        <v>24</v>
      </c>
      <c r="H437" s="335">
        <v>28.2</v>
      </c>
      <c r="I437" s="335">
        <v>172</v>
      </c>
      <c r="J437" s="335">
        <v>74.23</v>
      </c>
      <c r="K437" s="335">
        <v>39.340000000000003</v>
      </c>
      <c r="L437" s="356">
        <v>43</v>
      </c>
      <c r="M437" s="335">
        <v>86</v>
      </c>
      <c r="N437" s="335">
        <f t="shared" si="44"/>
        <v>84.673775995878913</v>
      </c>
      <c r="O437" s="335">
        <f t="shared" si="45"/>
        <v>114.92875151033533</v>
      </c>
      <c r="P437" s="335">
        <f t="shared" si="46"/>
        <v>487.64986111111114</v>
      </c>
      <c r="Q437" s="335">
        <f t="shared" si="47"/>
        <v>233.76221983618922</v>
      </c>
      <c r="R437" s="595">
        <v>435</v>
      </c>
    </row>
    <row r="438" spans="1:18" ht="15" customHeight="1">
      <c r="A438" s="607">
        <v>436</v>
      </c>
      <c r="B438" s="799"/>
      <c r="C438" s="333">
        <v>42</v>
      </c>
      <c r="D438" s="365">
        <v>30</v>
      </c>
      <c r="E438" s="335">
        <v>34.89</v>
      </c>
      <c r="F438" s="336" t="s">
        <v>605</v>
      </c>
      <c r="G438" s="365">
        <v>30</v>
      </c>
      <c r="H438" s="337">
        <v>34.89</v>
      </c>
      <c r="I438" s="335">
        <v>172</v>
      </c>
      <c r="J438" s="335">
        <v>70.89</v>
      </c>
      <c r="K438" s="335">
        <v>36</v>
      </c>
      <c r="L438" s="356">
        <v>43</v>
      </c>
      <c r="M438" s="335">
        <v>86</v>
      </c>
      <c r="N438" s="335">
        <f t="shared" si="44"/>
        <v>89.993539555957625</v>
      </c>
      <c r="O438" s="335">
        <f t="shared" si="45"/>
        <v>121.72247180366205</v>
      </c>
      <c r="P438" s="335">
        <f t="shared" si="46"/>
        <v>465.70791666666668</v>
      </c>
      <c r="Q438" s="335">
        <f t="shared" si="47"/>
        <v>227.58771750115949</v>
      </c>
      <c r="R438" s="595">
        <v>436</v>
      </c>
    </row>
    <row r="439" spans="1:18" ht="15" customHeight="1">
      <c r="A439" s="607">
        <v>437</v>
      </c>
      <c r="B439" s="799"/>
      <c r="C439" s="333">
        <v>43</v>
      </c>
      <c r="D439" s="334">
        <v>36</v>
      </c>
      <c r="E439" s="337">
        <v>40.9</v>
      </c>
      <c r="F439" s="336" t="s">
        <v>606</v>
      </c>
      <c r="G439" s="334">
        <v>4</v>
      </c>
      <c r="H439" s="335">
        <v>4.75</v>
      </c>
      <c r="I439" s="335">
        <v>172</v>
      </c>
      <c r="J439" s="335">
        <v>76.88</v>
      </c>
      <c r="K439" s="335">
        <v>35.979999999999997</v>
      </c>
      <c r="L439" s="356">
        <v>43</v>
      </c>
      <c r="M439" s="335">
        <v>86</v>
      </c>
      <c r="N439" s="335">
        <f t="shared" si="44"/>
        <v>101.66513804046103</v>
      </c>
      <c r="O439" s="335">
        <f t="shared" si="45"/>
        <v>131.26576648364193</v>
      </c>
      <c r="P439" s="335">
        <f t="shared" si="46"/>
        <v>505.05888888888882</v>
      </c>
      <c r="Q439" s="335">
        <f t="shared" si="47"/>
        <v>251.18238700255978</v>
      </c>
      <c r="R439" s="595">
        <v>437</v>
      </c>
    </row>
    <row r="440" spans="1:18" ht="15" customHeight="1">
      <c r="A440" s="607">
        <v>438</v>
      </c>
      <c r="B440" s="799"/>
      <c r="C440" s="333">
        <v>44</v>
      </c>
      <c r="D440" s="365">
        <v>36</v>
      </c>
      <c r="E440" s="337">
        <v>40.9</v>
      </c>
      <c r="F440" s="336" t="s">
        <v>607</v>
      </c>
      <c r="G440" s="334">
        <v>6</v>
      </c>
      <c r="H440" s="335">
        <v>7.05</v>
      </c>
      <c r="I440" s="335">
        <v>172</v>
      </c>
      <c r="J440" s="335">
        <v>77.52</v>
      </c>
      <c r="K440" s="335">
        <v>36.619999999999997</v>
      </c>
      <c r="L440" s="356">
        <v>43</v>
      </c>
      <c r="M440" s="335">
        <v>86</v>
      </c>
      <c r="N440" s="335">
        <f t="shared" si="44"/>
        <v>102.12205069422271</v>
      </c>
      <c r="O440" s="335">
        <f t="shared" si="45"/>
        <v>131.88629175563949</v>
      </c>
      <c r="P440" s="335">
        <f t="shared" si="46"/>
        <v>509.26333333333326</v>
      </c>
      <c r="Q440" s="335">
        <f t="shared" si="47"/>
        <v>253.07286732530022</v>
      </c>
      <c r="R440" s="595">
        <v>438</v>
      </c>
    </row>
    <row r="441" spans="1:18" ht="15" customHeight="1">
      <c r="A441" s="607">
        <v>439</v>
      </c>
      <c r="B441" s="799"/>
      <c r="C441" s="333">
        <v>45</v>
      </c>
      <c r="D441" s="365">
        <v>36</v>
      </c>
      <c r="E441" s="337">
        <v>40.9</v>
      </c>
      <c r="F441" s="336" t="s">
        <v>608</v>
      </c>
      <c r="G441" s="334">
        <v>8</v>
      </c>
      <c r="H441" s="335">
        <v>9.4</v>
      </c>
      <c r="I441" s="335">
        <v>172</v>
      </c>
      <c r="J441" s="335">
        <v>77.819999999999993</v>
      </c>
      <c r="K441" s="335">
        <v>36.92</v>
      </c>
      <c r="L441" s="356">
        <v>43</v>
      </c>
      <c r="M441" s="335">
        <v>86</v>
      </c>
      <c r="N441" s="335">
        <f t="shared" si="44"/>
        <v>102.76614991026078</v>
      </c>
      <c r="O441" s="335">
        <f t="shared" si="45"/>
        <v>132.77555123578205</v>
      </c>
      <c r="P441" s="335">
        <f t="shared" si="46"/>
        <v>511.23416666666662</v>
      </c>
      <c r="Q441" s="335">
        <f t="shared" si="47"/>
        <v>254.14959608261461</v>
      </c>
      <c r="R441" s="595">
        <v>439</v>
      </c>
    </row>
    <row r="442" spans="1:18" ht="15" customHeight="1">
      <c r="A442" s="607">
        <v>440</v>
      </c>
      <c r="B442" s="799"/>
      <c r="C442" s="333">
        <v>46</v>
      </c>
      <c r="D442" s="365">
        <v>36</v>
      </c>
      <c r="E442" s="337">
        <v>40.9</v>
      </c>
      <c r="F442" s="336" t="s">
        <v>609</v>
      </c>
      <c r="G442" s="334">
        <v>10</v>
      </c>
      <c r="H442" s="335">
        <v>12</v>
      </c>
      <c r="I442" s="335">
        <v>172</v>
      </c>
      <c r="J442" s="335">
        <v>77.819999999999993</v>
      </c>
      <c r="K442" s="335">
        <v>36.92</v>
      </c>
      <c r="L442" s="356">
        <v>43</v>
      </c>
      <c r="M442" s="335">
        <v>86</v>
      </c>
      <c r="N442" s="335">
        <f t="shared" si="44"/>
        <v>103.58165500325514</v>
      </c>
      <c r="O442" s="335">
        <f t="shared" si="45"/>
        <v>134.03595966284331</v>
      </c>
      <c r="P442" s="335">
        <f t="shared" si="46"/>
        <v>511.23416666666662</v>
      </c>
      <c r="Q442" s="335">
        <f t="shared" si="47"/>
        <v>254.46093780478446</v>
      </c>
      <c r="R442" s="595">
        <v>440</v>
      </c>
    </row>
    <row r="443" spans="1:18" ht="15" customHeight="1">
      <c r="A443" s="607">
        <v>441</v>
      </c>
      <c r="B443" s="799"/>
      <c r="C443" s="333">
        <v>47</v>
      </c>
      <c r="D443" s="365">
        <v>36</v>
      </c>
      <c r="E443" s="337">
        <v>40.9</v>
      </c>
      <c r="F443" s="336" t="s">
        <v>610</v>
      </c>
      <c r="G443" s="334">
        <v>12</v>
      </c>
      <c r="H443" s="335">
        <v>14.58</v>
      </c>
      <c r="I443" s="335">
        <v>172</v>
      </c>
      <c r="J443" s="335">
        <v>78.28</v>
      </c>
      <c r="K443" s="335">
        <v>37.380000000000003</v>
      </c>
      <c r="L443" s="356">
        <v>43</v>
      </c>
      <c r="M443" s="335">
        <v>86</v>
      </c>
      <c r="N443" s="335">
        <f t="shared" si="44"/>
        <v>104.63859730944203</v>
      </c>
      <c r="O443" s="335">
        <f t="shared" si="45"/>
        <v>135.67830451877663</v>
      </c>
      <c r="P443" s="335">
        <f t="shared" si="46"/>
        <v>514.25611111111118</v>
      </c>
      <c r="Q443" s="335">
        <f t="shared" si="47"/>
        <v>256.06971994637587</v>
      </c>
      <c r="R443" s="595">
        <v>441</v>
      </c>
    </row>
    <row r="444" spans="1:18" ht="15" customHeight="1">
      <c r="A444" s="607">
        <v>442</v>
      </c>
      <c r="B444" s="799"/>
      <c r="C444" s="333">
        <v>48</v>
      </c>
      <c r="D444" s="365">
        <v>36</v>
      </c>
      <c r="E444" s="337">
        <v>40.9</v>
      </c>
      <c r="F444" s="336" t="s">
        <v>611</v>
      </c>
      <c r="G444" s="365">
        <v>15</v>
      </c>
      <c r="H444" s="335">
        <v>17.73</v>
      </c>
      <c r="I444" s="335">
        <v>172</v>
      </c>
      <c r="J444" s="335">
        <v>77.03</v>
      </c>
      <c r="K444" s="335">
        <v>36.130000000000003</v>
      </c>
      <c r="L444" s="356">
        <v>43</v>
      </c>
      <c r="M444" s="335">
        <v>86</v>
      </c>
      <c r="N444" s="335">
        <f t="shared" si="44"/>
        <v>106.25169059982822</v>
      </c>
      <c r="O444" s="335">
        <f t="shared" si="45"/>
        <v>137.66920381909426</v>
      </c>
      <c r="P444" s="335">
        <f t="shared" si="46"/>
        <v>506.04430555555558</v>
      </c>
      <c r="Q444" s="335">
        <f t="shared" si="47"/>
        <v>253.60173129441273</v>
      </c>
      <c r="R444" s="595">
        <v>442</v>
      </c>
    </row>
    <row r="445" spans="1:18" ht="15" customHeight="1">
      <c r="A445" s="607">
        <v>443</v>
      </c>
      <c r="B445" s="799"/>
      <c r="C445" s="333">
        <v>49</v>
      </c>
      <c r="D445" s="365">
        <v>36</v>
      </c>
      <c r="E445" s="337">
        <v>40.9</v>
      </c>
      <c r="F445" s="336" t="s">
        <v>612</v>
      </c>
      <c r="G445" s="365">
        <v>18</v>
      </c>
      <c r="H445" s="335">
        <v>21.45</v>
      </c>
      <c r="I445" s="335">
        <v>172</v>
      </c>
      <c r="J445" s="335">
        <v>79.42</v>
      </c>
      <c r="K445" s="335">
        <v>38.520000000000003</v>
      </c>
      <c r="L445" s="356">
        <v>43</v>
      </c>
      <c r="M445" s="335">
        <v>86</v>
      </c>
      <c r="N445" s="335">
        <f t="shared" si="44"/>
        <v>109.12714781325845</v>
      </c>
      <c r="O445" s="335">
        <f t="shared" si="45"/>
        <v>141.86579603015494</v>
      </c>
      <c r="P445" s="335">
        <f t="shared" si="46"/>
        <v>521.7452777777778</v>
      </c>
      <c r="Q445" s="335">
        <f t="shared" si="47"/>
        <v>261.07894051230761</v>
      </c>
      <c r="R445" s="595">
        <v>443</v>
      </c>
    </row>
    <row r="446" spans="1:18" ht="15" customHeight="1">
      <c r="A446" s="607">
        <v>444</v>
      </c>
      <c r="B446" s="799"/>
      <c r="C446" s="333">
        <v>50</v>
      </c>
      <c r="D446" s="365">
        <v>36</v>
      </c>
      <c r="E446" s="337">
        <v>40.9</v>
      </c>
      <c r="F446" s="336" t="s">
        <v>613</v>
      </c>
      <c r="G446" s="365">
        <v>24</v>
      </c>
      <c r="H446" s="335">
        <v>28.2</v>
      </c>
      <c r="I446" s="335">
        <v>172</v>
      </c>
      <c r="J446" s="335">
        <v>80.239999999999995</v>
      </c>
      <c r="K446" s="335">
        <v>39.340000000000003</v>
      </c>
      <c r="L446" s="356">
        <v>43</v>
      </c>
      <c r="M446" s="335">
        <v>86</v>
      </c>
      <c r="N446" s="335">
        <f t="shared" si="44"/>
        <v>115.63155360312832</v>
      </c>
      <c r="O446" s="335">
        <f t="shared" si="45"/>
        <v>150.53784920924727</v>
      </c>
      <c r="P446" s="335">
        <f t="shared" si="46"/>
        <v>527.13222222222225</v>
      </c>
      <c r="Q446" s="335">
        <f t="shared" si="47"/>
        <v>266.26930280831834</v>
      </c>
      <c r="R446" s="595">
        <v>444</v>
      </c>
    </row>
    <row r="447" spans="1:18" ht="15" customHeight="1">
      <c r="A447" s="607">
        <v>445</v>
      </c>
      <c r="B447" s="799"/>
      <c r="C447" s="333">
        <v>51</v>
      </c>
      <c r="D447" s="365">
        <v>36</v>
      </c>
      <c r="E447" s="337">
        <v>40.9</v>
      </c>
      <c r="F447" s="336" t="s">
        <v>614</v>
      </c>
      <c r="G447" s="365">
        <v>30</v>
      </c>
      <c r="H447" s="337">
        <v>34.89</v>
      </c>
      <c r="I447" s="335">
        <v>172</v>
      </c>
      <c r="J447" s="335">
        <v>76.900000000000006</v>
      </c>
      <c r="K447" s="335">
        <v>36</v>
      </c>
      <c r="L447" s="356">
        <v>43</v>
      </c>
      <c r="M447" s="335">
        <v>86</v>
      </c>
      <c r="N447" s="335">
        <f t="shared" si="44"/>
        <v>120.95131716320704</v>
      </c>
      <c r="O447" s="335">
        <f t="shared" si="45"/>
        <v>157.33156950257398</v>
      </c>
      <c r="P447" s="335">
        <f t="shared" si="46"/>
        <v>505.19027777777779</v>
      </c>
      <c r="Q447" s="335">
        <f t="shared" si="47"/>
        <v>260.09480047328856</v>
      </c>
      <c r="R447" s="595">
        <v>445</v>
      </c>
    </row>
    <row r="448" spans="1:18" ht="15" customHeight="1">
      <c r="A448" s="607">
        <v>446</v>
      </c>
      <c r="B448" s="799"/>
      <c r="C448" s="333">
        <v>52</v>
      </c>
      <c r="D448" s="334">
        <v>42</v>
      </c>
      <c r="E448" s="337">
        <v>47.53</v>
      </c>
      <c r="F448" s="336" t="s">
        <v>615</v>
      </c>
      <c r="G448" s="334">
        <v>4</v>
      </c>
      <c r="H448" s="335">
        <v>4.75</v>
      </c>
      <c r="I448" s="335">
        <v>170.67</v>
      </c>
      <c r="J448" s="335">
        <v>83.51</v>
      </c>
      <c r="K448" s="335">
        <v>35.979999999999997</v>
      </c>
      <c r="L448" s="356">
        <v>42.67</v>
      </c>
      <c r="M448" s="335">
        <v>85.34</v>
      </c>
      <c r="N448" s="335">
        <f t="shared" si="44"/>
        <v>137.18526085396272</v>
      </c>
      <c r="O448" s="335">
        <f t="shared" si="45"/>
        <v>175.73413355952241</v>
      </c>
      <c r="P448" s="335">
        <f t="shared" si="46"/>
        <v>544.37211354166664</v>
      </c>
      <c r="Q448" s="335">
        <f t="shared" si="47"/>
        <v>284.64045284682038</v>
      </c>
      <c r="R448" s="595">
        <v>446</v>
      </c>
    </row>
    <row r="449" spans="1:18" ht="15" customHeight="1">
      <c r="A449" s="607">
        <v>447</v>
      </c>
      <c r="B449" s="799"/>
      <c r="C449" s="333">
        <v>53</v>
      </c>
      <c r="D449" s="365">
        <v>42</v>
      </c>
      <c r="E449" s="337">
        <v>47.53</v>
      </c>
      <c r="F449" s="336" t="s">
        <v>616</v>
      </c>
      <c r="G449" s="334">
        <v>6</v>
      </c>
      <c r="H449" s="335">
        <v>7.05</v>
      </c>
      <c r="I449" s="335">
        <v>170.67</v>
      </c>
      <c r="J449" s="335">
        <v>84.15</v>
      </c>
      <c r="K449" s="335">
        <v>36.619999999999997</v>
      </c>
      <c r="L449" s="356">
        <v>42.67</v>
      </c>
      <c r="M449" s="335">
        <v>85.34</v>
      </c>
      <c r="N449" s="335">
        <f t="shared" si="44"/>
        <v>137.64217350772441</v>
      </c>
      <c r="O449" s="335">
        <f t="shared" si="45"/>
        <v>176.35465883151997</v>
      </c>
      <c r="P449" s="335">
        <f t="shared" si="46"/>
        <v>548.54404687500005</v>
      </c>
      <c r="Q449" s="335">
        <f t="shared" si="47"/>
        <v>286.51792872511646</v>
      </c>
      <c r="R449" s="595">
        <v>447</v>
      </c>
    </row>
    <row r="450" spans="1:18" ht="15" customHeight="1">
      <c r="A450" s="607">
        <v>448</v>
      </c>
      <c r="B450" s="799"/>
      <c r="C450" s="333">
        <v>54</v>
      </c>
      <c r="D450" s="365">
        <v>42</v>
      </c>
      <c r="E450" s="337">
        <v>47.53</v>
      </c>
      <c r="F450" s="336" t="s">
        <v>617</v>
      </c>
      <c r="G450" s="334">
        <v>8</v>
      </c>
      <c r="H450" s="335">
        <v>9.4</v>
      </c>
      <c r="I450" s="335">
        <v>170.67</v>
      </c>
      <c r="J450" s="335">
        <v>84.45</v>
      </c>
      <c r="K450" s="335">
        <v>36.92</v>
      </c>
      <c r="L450" s="356">
        <v>42.67</v>
      </c>
      <c r="M450" s="335">
        <v>85.34</v>
      </c>
      <c r="N450" s="335">
        <f t="shared" si="44"/>
        <v>138.28627272376249</v>
      </c>
      <c r="O450" s="335">
        <f t="shared" si="45"/>
        <v>177.24391831166253</v>
      </c>
      <c r="P450" s="335">
        <f t="shared" si="46"/>
        <v>550.49964062499998</v>
      </c>
      <c r="Q450" s="335">
        <f t="shared" si="47"/>
        <v>287.58856164909747</v>
      </c>
      <c r="R450" s="595">
        <v>448</v>
      </c>
    </row>
    <row r="451" spans="1:18" ht="15" customHeight="1">
      <c r="A451" s="607">
        <v>449</v>
      </c>
      <c r="B451" s="799"/>
      <c r="C451" s="333">
        <v>55</v>
      </c>
      <c r="D451" s="365">
        <v>42</v>
      </c>
      <c r="E451" s="337">
        <v>47.53</v>
      </c>
      <c r="F451" s="336" t="s">
        <v>618</v>
      </c>
      <c r="G451" s="334">
        <v>10</v>
      </c>
      <c r="H451" s="335">
        <v>12</v>
      </c>
      <c r="I451" s="335">
        <v>170.67</v>
      </c>
      <c r="J451" s="335">
        <v>84.45</v>
      </c>
      <c r="K451" s="335">
        <v>36.92</v>
      </c>
      <c r="L451" s="356">
        <v>42.67</v>
      </c>
      <c r="M451" s="335">
        <v>85.34</v>
      </c>
      <c r="N451" s="335">
        <f t="shared" si="44"/>
        <v>139.10177781675682</v>
      </c>
      <c r="O451" s="335">
        <f t="shared" si="45"/>
        <v>178.50432673872379</v>
      </c>
      <c r="P451" s="335">
        <f t="shared" si="46"/>
        <v>550.49964062499998</v>
      </c>
      <c r="Q451" s="335">
        <f t="shared" si="47"/>
        <v>287.89990337126733</v>
      </c>
      <c r="R451" s="595">
        <v>449</v>
      </c>
    </row>
    <row r="452" spans="1:18" ht="15" customHeight="1">
      <c r="A452" s="607">
        <v>450</v>
      </c>
      <c r="B452" s="799"/>
      <c r="C452" s="333">
        <v>56</v>
      </c>
      <c r="D452" s="365">
        <v>42</v>
      </c>
      <c r="E452" s="337">
        <v>47.53</v>
      </c>
      <c r="F452" s="336" t="s">
        <v>619</v>
      </c>
      <c r="G452" s="334">
        <v>12</v>
      </c>
      <c r="H452" s="335">
        <v>14.58</v>
      </c>
      <c r="I452" s="335">
        <v>170.67</v>
      </c>
      <c r="J452" s="335">
        <v>84.91</v>
      </c>
      <c r="K452" s="335">
        <v>37.380000000000003</v>
      </c>
      <c r="L452" s="356">
        <v>42.67</v>
      </c>
      <c r="M452" s="335">
        <v>85.34</v>
      </c>
      <c r="N452" s="335">
        <f t="shared" si="44"/>
        <v>140.15872012294372</v>
      </c>
      <c r="O452" s="335">
        <f t="shared" si="45"/>
        <v>180.14667159465711</v>
      </c>
      <c r="P452" s="335">
        <f t="shared" si="46"/>
        <v>553.4982177083333</v>
      </c>
      <c r="Q452" s="335">
        <f t="shared" si="47"/>
        <v>289.4993385684142</v>
      </c>
      <c r="R452" s="595">
        <v>450</v>
      </c>
    </row>
    <row r="453" spans="1:18" ht="15" customHeight="1">
      <c r="A453" s="607">
        <v>451</v>
      </c>
      <c r="B453" s="799"/>
      <c r="C453" s="333">
        <v>57</v>
      </c>
      <c r="D453" s="365">
        <v>42</v>
      </c>
      <c r="E453" s="337">
        <v>47.53</v>
      </c>
      <c r="F453" s="336" t="s">
        <v>620</v>
      </c>
      <c r="G453" s="365">
        <v>15</v>
      </c>
      <c r="H453" s="335">
        <v>17.73</v>
      </c>
      <c r="I453" s="335">
        <v>170.67</v>
      </c>
      <c r="J453" s="335">
        <v>83.66</v>
      </c>
      <c r="K453" s="335">
        <v>36.130000000000003</v>
      </c>
      <c r="L453" s="356">
        <v>42.67</v>
      </c>
      <c r="M453" s="335">
        <v>85.34</v>
      </c>
      <c r="N453" s="335">
        <f t="shared" si="44"/>
        <v>141.77181341332994</v>
      </c>
      <c r="O453" s="335">
        <f t="shared" si="45"/>
        <v>182.13757089497474</v>
      </c>
      <c r="P453" s="335">
        <f t="shared" si="46"/>
        <v>545.3499104166666</v>
      </c>
      <c r="Q453" s="335">
        <f t="shared" si="47"/>
        <v>287.05674922200672</v>
      </c>
      <c r="R453" s="595">
        <v>451</v>
      </c>
    </row>
    <row r="454" spans="1:18" ht="15" customHeight="1">
      <c r="A454" s="607">
        <v>452</v>
      </c>
      <c r="B454" s="799"/>
      <c r="C454" s="333">
        <v>58</v>
      </c>
      <c r="D454" s="365">
        <v>42</v>
      </c>
      <c r="E454" s="337">
        <v>47.53</v>
      </c>
      <c r="F454" s="336" t="s">
        <v>621</v>
      </c>
      <c r="G454" s="365">
        <v>18</v>
      </c>
      <c r="H454" s="335">
        <v>21.45</v>
      </c>
      <c r="I454" s="335">
        <v>170.67</v>
      </c>
      <c r="J454" s="335">
        <v>86.05</v>
      </c>
      <c r="K454" s="335">
        <v>38.520000000000003</v>
      </c>
      <c r="L454" s="356">
        <v>42.67</v>
      </c>
      <c r="M454" s="335">
        <v>85.34</v>
      </c>
      <c r="N454" s="335">
        <f t="shared" si="44"/>
        <v>144.64727062676016</v>
      </c>
      <c r="O454" s="335">
        <f t="shared" si="45"/>
        <v>186.33416310603542</v>
      </c>
      <c r="P454" s="335">
        <f t="shared" si="46"/>
        <v>560.92947395833335</v>
      </c>
      <c r="Q454" s="335">
        <f t="shared" si="47"/>
        <v>294.48539496767933</v>
      </c>
      <c r="R454" s="595">
        <v>452</v>
      </c>
    </row>
    <row r="455" spans="1:18" ht="15" customHeight="1">
      <c r="A455" s="607">
        <v>453</v>
      </c>
      <c r="B455" s="799"/>
      <c r="C455" s="333">
        <v>59</v>
      </c>
      <c r="D455" s="365">
        <v>42</v>
      </c>
      <c r="E455" s="337">
        <v>47.53</v>
      </c>
      <c r="F455" s="336" t="s">
        <v>622</v>
      </c>
      <c r="G455" s="365">
        <v>24</v>
      </c>
      <c r="H455" s="335">
        <v>28.2</v>
      </c>
      <c r="I455" s="335">
        <v>170.67</v>
      </c>
      <c r="J455" s="335">
        <v>86.87</v>
      </c>
      <c r="K455" s="335">
        <v>39.340000000000003</v>
      </c>
      <c r="L455" s="356">
        <v>42.67</v>
      </c>
      <c r="M455" s="335">
        <v>85.34</v>
      </c>
      <c r="N455" s="335">
        <f t="shared" si="44"/>
        <v>151.15167641663001</v>
      </c>
      <c r="O455" s="335">
        <f t="shared" si="45"/>
        <v>195.00621628512778</v>
      </c>
      <c r="P455" s="335">
        <f t="shared" si="46"/>
        <v>566.27476354166663</v>
      </c>
      <c r="Q455" s="335">
        <f t="shared" si="47"/>
        <v>299.65909531924558</v>
      </c>
      <c r="R455" s="595">
        <v>453</v>
      </c>
    </row>
    <row r="456" spans="1:18" ht="15" customHeight="1">
      <c r="A456" s="607">
        <v>454</v>
      </c>
      <c r="B456" s="799"/>
      <c r="C456" s="333">
        <v>60</v>
      </c>
      <c r="D456" s="365">
        <v>42</v>
      </c>
      <c r="E456" s="337">
        <v>47.53</v>
      </c>
      <c r="F456" s="336" t="s">
        <v>623</v>
      </c>
      <c r="G456" s="365">
        <v>30</v>
      </c>
      <c r="H456" s="337">
        <v>34.89</v>
      </c>
      <c r="I456" s="335">
        <v>170.67</v>
      </c>
      <c r="J456" s="335">
        <v>83.53</v>
      </c>
      <c r="K456" s="335">
        <v>36</v>
      </c>
      <c r="L456" s="356">
        <v>42.67</v>
      </c>
      <c r="M456" s="335">
        <v>85.34</v>
      </c>
      <c r="N456" s="335">
        <f t="shared" si="44"/>
        <v>156.47143997670872</v>
      </c>
      <c r="O456" s="335">
        <f t="shared" si="45"/>
        <v>201.79993657845446</v>
      </c>
      <c r="P456" s="335">
        <f t="shared" si="46"/>
        <v>544.50248645833335</v>
      </c>
      <c r="Q456" s="335">
        <f t="shared" si="47"/>
        <v>293.55245992866026</v>
      </c>
      <c r="R456" s="595">
        <v>454</v>
      </c>
    </row>
    <row r="457" spans="1:18" ht="15" customHeight="1">
      <c r="A457" s="607">
        <v>455</v>
      </c>
      <c r="B457" s="799"/>
      <c r="C457" s="333">
        <v>61</v>
      </c>
      <c r="D457" s="334">
        <v>48</v>
      </c>
      <c r="E457" s="337">
        <v>54.48</v>
      </c>
      <c r="F457" s="336" t="s">
        <v>624</v>
      </c>
      <c r="G457" s="334">
        <v>4</v>
      </c>
      <c r="H457" s="335">
        <v>4.75</v>
      </c>
      <c r="I457" s="335">
        <v>170.67</v>
      </c>
      <c r="J457" s="335">
        <v>90.46</v>
      </c>
      <c r="K457" s="335">
        <v>35.979999999999997</v>
      </c>
      <c r="L457" s="356">
        <v>42.67</v>
      </c>
      <c r="M457" s="335">
        <v>85.34</v>
      </c>
      <c r="N457" s="335">
        <f t="shared" si="44"/>
        <v>179.07398102491351</v>
      </c>
      <c r="O457" s="335">
        <f t="shared" si="45"/>
        <v>230.73010577292771</v>
      </c>
      <c r="P457" s="335">
        <f t="shared" si="46"/>
        <v>589.67670208333323</v>
      </c>
      <c r="Q457" s="335">
        <f t="shared" si="47"/>
        <v>322.65261954907572</v>
      </c>
      <c r="R457" s="595">
        <v>455</v>
      </c>
    </row>
    <row r="458" spans="1:18" ht="15" customHeight="1">
      <c r="A458" s="607">
        <v>456</v>
      </c>
      <c r="B458" s="799"/>
      <c r="C458" s="333">
        <v>62</v>
      </c>
      <c r="D458" s="365">
        <v>48</v>
      </c>
      <c r="E458" s="337">
        <v>54.48</v>
      </c>
      <c r="F458" s="336" t="s">
        <v>625</v>
      </c>
      <c r="G458" s="334">
        <v>6</v>
      </c>
      <c r="H458" s="335">
        <v>7.05</v>
      </c>
      <c r="I458" s="335">
        <v>170.67</v>
      </c>
      <c r="J458" s="335">
        <v>91.1</v>
      </c>
      <c r="K458" s="335">
        <v>36.619999999999997</v>
      </c>
      <c r="L458" s="356">
        <v>42.67</v>
      </c>
      <c r="M458" s="335">
        <v>85.34</v>
      </c>
      <c r="N458" s="335">
        <f t="shared" si="44"/>
        <v>179.5308936786752</v>
      </c>
      <c r="O458" s="335">
        <f t="shared" si="45"/>
        <v>231.35063104492528</v>
      </c>
      <c r="P458" s="335">
        <f t="shared" si="46"/>
        <v>593.84863541666664</v>
      </c>
      <c r="Q458" s="335">
        <f t="shared" si="47"/>
        <v>324.53009542737175</v>
      </c>
      <c r="R458" s="595">
        <v>456</v>
      </c>
    </row>
    <row r="459" spans="1:18" ht="15" customHeight="1">
      <c r="A459" s="607">
        <v>457</v>
      </c>
      <c r="B459" s="799"/>
      <c r="C459" s="333">
        <v>63</v>
      </c>
      <c r="D459" s="365">
        <v>48</v>
      </c>
      <c r="E459" s="337">
        <v>54.48</v>
      </c>
      <c r="F459" s="336" t="s">
        <v>626</v>
      </c>
      <c r="G459" s="334">
        <v>8</v>
      </c>
      <c r="H459" s="335">
        <v>9.4</v>
      </c>
      <c r="I459" s="335">
        <v>170.67</v>
      </c>
      <c r="J459" s="335">
        <v>91.4</v>
      </c>
      <c r="K459" s="335">
        <v>36.92</v>
      </c>
      <c r="L459" s="356">
        <v>42.67</v>
      </c>
      <c r="M459" s="335">
        <v>85.34</v>
      </c>
      <c r="N459" s="335">
        <f t="shared" si="44"/>
        <v>180.17499289471328</v>
      </c>
      <c r="O459" s="335">
        <f t="shared" si="45"/>
        <v>232.23989052506784</v>
      </c>
      <c r="P459" s="335">
        <f t="shared" si="46"/>
        <v>595.80422916666669</v>
      </c>
      <c r="Q459" s="335">
        <f t="shared" si="47"/>
        <v>325.60072835135281</v>
      </c>
      <c r="R459" s="595">
        <v>457</v>
      </c>
    </row>
    <row r="460" spans="1:18" ht="15" customHeight="1">
      <c r="A460" s="607">
        <v>458</v>
      </c>
      <c r="B460" s="799"/>
      <c r="C460" s="333">
        <v>64</v>
      </c>
      <c r="D460" s="365">
        <v>48</v>
      </c>
      <c r="E460" s="337">
        <v>54.48</v>
      </c>
      <c r="F460" s="336" t="s">
        <v>627</v>
      </c>
      <c r="G460" s="334">
        <v>10</v>
      </c>
      <c r="H460" s="335">
        <v>12</v>
      </c>
      <c r="I460" s="335">
        <v>170.67</v>
      </c>
      <c r="J460" s="335">
        <v>91.4</v>
      </c>
      <c r="K460" s="335">
        <v>36.92</v>
      </c>
      <c r="L460" s="356">
        <v>42.67</v>
      </c>
      <c r="M460" s="335">
        <v>85.34</v>
      </c>
      <c r="N460" s="335">
        <f t="shared" si="44"/>
        <v>180.99049798770761</v>
      </c>
      <c r="O460" s="335">
        <f t="shared" si="45"/>
        <v>233.5002989521291</v>
      </c>
      <c r="P460" s="335">
        <f t="shared" si="46"/>
        <v>595.80422916666669</v>
      </c>
      <c r="Q460" s="335">
        <f t="shared" si="47"/>
        <v>325.91207007352261</v>
      </c>
      <c r="R460" s="595">
        <v>458</v>
      </c>
    </row>
    <row r="461" spans="1:18" ht="15" customHeight="1">
      <c r="A461" s="607">
        <v>459</v>
      </c>
      <c r="B461" s="799"/>
      <c r="C461" s="333">
        <v>65</v>
      </c>
      <c r="D461" s="365">
        <v>48</v>
      </c>
      <c r="E461" s="337">
        <v>54.48</v>
      </c>
      <c r="F461" s="336" t="s">
        <v>628</v>
      </c>
      <c r="G461" s="334">
        <v>12</v>
      </c>
      <c r="H461" s="335">
        <v>14.58</v>
      </c>
      <c r="I461" s="335">
        <v>170.67</v>
      </c>
      <c r="J461" s="335">
        <v>91.86</v>
      </c>
      <c r="K461" s="335">
        <v>37.380000000000003</v>
      </c>
      <c r="L461" s="356">
        <v>42.67</v>
      </c>
      <c r="M461" s="335">
        <v>85.34</v>
      </c>
      <c r="N461" s="335">
        <f t="shared" si="44"/>
        <v>182.04744029389451</v>
      </c>
      <c r="O461" s="335">
        <f t="shared" si="45"/>
        <v>235.14264380806242</v>
      </c>
      <c r="P461" s="335">
        <f t="shared" si="46"/>
        <v>598.80280625</v>
      </c>
      <c r="Q461" s="335">
        <f t="shared" si="47"/>
        <v>327.51150527066955</v>
      </c>
      <c r="R461" s="595">
        <v>459</v>
      </c>
    </row>
    <row r="462" spans="1:18" ht="15" customHeight="1">
      <c r="A462" s="607">
        <v>460</v>
      </c>
      <c r="B462" s="799"/>
      <c r="C462" s="333">
        <v>66</v>
      </c>
      <c r="D462" s="365">
        <v>48</v>
      </c>
      <c r="E462" s="337">
        <v>54.48</v>
      </c>
      <c r="F462" s="336" t="s">
        <v>629</v>
      </c>
      <c r="G462" s="365">
        <v>15</v>
      </c>
      <c r="H462" s="335">
        <v>17.73</v>
      </c>
      <c r="I462" s="335">
        <v>170.67</v>
      </c>
      <c r="J462" s="335">
        <v>90.61</v>
      </c>
      <c r="K462" s="335">
        <v>36.130000000000003</v>
      </c>
      <c r="L462" s="356">
        <v>42.67</v>
      </c>
      <c r="M462" s="335">
        <v>85.34</v>
      </c>
      <c r="N462" s="335">
        <f t="shared" ref="N462:N474" si="48">PI()*D462^2/4*I462/1728+2*PI()*G462^2/4*(K462-12)/1728</f>
        <v>183.66053358428073</v>
      </c>
      <c r="O462" s="335">
        <f t="shared" ref="O462:O474" si="49">PI()*E462^2/4*I462/1728+2*PI()*H462^2/4*(K462-12)/1728</f>
        <v>237.13354310838005</v>
      </c>
      <c r="P462" s="335">
        <f t="shared" ref="P462:P474" si="50">66*I462*J462/1728</f>
        <v>590.65449895833331</v>
      </c>
      <c r="Q462" s="335">
        <f t="shared" ref="Q462:Q474" si="51">0.4*(P462-O462)+N462</f>
        <v>325.068915924262</v>
      </c>
      <c r="R462" s="595">
        <v>460</v>
      </c>
    </row>
    <row r="463" spans="1:18" ht="15" customHeight="1">
      <c r="A463" s="607">
        <v>461</v>
      </c>
      <c r="B463" s="799"/>
      <c r="C463" s="333">
        <v>67</v>
      </c>
      <c r="D463" s="365">
        <v>48</v>
      </c>
      <c r="E463" s="337">
        <v>54.48</v>
      </c>
      <c r="F463" s="336" t="s">
        <v>630</v>
      </c>
      <c r="G463" s="365">
        <v>18</v>
      </c>
      <c r="H463" s="335">
        <v>21.45</v>
      </c>
      <c r="I463" s="335">
        <v>170.67</v>
      </c>
      <c r="J463" s="335">
        <v>93</v>
      </c>
      <c r="K463" s="335">
        <v>38.520000000000003</v>
      </c>
      <c r="L463" s="356">
        <v>42.67</v>
      </c>
      <c r="M463" s="335">
        <v>85.34</v>
      </c>
      <c r="N463" s="335">
        <f t="shared" si="48"/>
        <v>186.53599079771095</v>
      </c>
      <c r="O463" s="335">
        <f t="shared" si="49"/>
        <v>241.33013531944073</v>
      </c>
      <c r="P463" s="335">
        <f t="shared" si="50"/>
        <v>606.23406249999994</v>
      </c>
      <c r="Q463" s="335">
        <f t="shared" si="51"/>
        <v>332.49756166993461</v>
      </c>
      <c r="R463" s="595">
        <v>461</v>
      </c>
    </row>
    <row r="464" spans="1:18" ht="15" customHeight="1">
      <c r="A464" s="607">
        <v>462</v>
      </c>
      <c r="B464" s="799"/>
      <c r="C464" s="333">
        <v>68</v>
      </c>
      <c r="D464" s="365">
        <v>48</v>
      </c>
      <c r="E464" s="337">
        <v>54.48</v>
      </c>
      <c r="F464" s="336" t="s">
        <v>631</v>
      </c>
      <c r="G464" s="365">
        <v>24</v>
      </c>
      <c r="H464" s="335">
        <v>28.2</v>
      </c>
      <c r="I464" s="335">
        <v>170.67</v>
      </c>
      <c r="J464" s="335">
        <v>93.82</v>
      </c>
      <c r="K464" s="335">
        <v>39.340000000000003</v>
      </c>
      <c r="L464" s="356">
        <v>42.67</v>
      </c>
      <c r="M464" s="335">
        <v>85.34</v>
      </c>
      <c r="N464" s="335">
        <f t="shared" si="48"/>
        <v>193.0403965875808</v>
      </c>
      <c r="O464" s="335">
        <f t="shared" si="49"/>
        <v>250.00218849853309</v>
      </c>
      <c r="P464" s="335">
        <f t="shared" si="50"/>
        <v>611.57935208333322</v>
      </c>
      <c r="Q464" s="335">
        <f t="shared" si="51"/>
        <v>337.67126202150087</v>
      </c>
      <c r="R464" s="595">
        <v>462</v>
      </c>
    </row>
    <row r="465" spans="1:18" ht="15" customHeight="1">
      <c r="A465" s="607">
        <v>463</v>
      </c>
      <c r="B465" s="799"/>
      <c r="C465" s="333">
        <v>69</v>
      </c>
      <c r="D465" s="365">
        <v>48</v>
      </c>
      <c r="E465" s="337">
        <v>54.48</v>
      </c>
      <c r="F465" s="336" t="s">
        <v>632</v>
      </c>
      <c r="G465" s="365">
        <v>30</v>
      </c>
      <c r="H465" s="337">
        <v>34.89</v>
      </c>
      <c r="I465" s="335">
        <v>170.67</v>
      </c>
      <c r="J465" s="335">
        <v>90.48</v>
      </c>
      <c r="K465" s="335">
        <v>36</v>
      </c>
      <c r="L465" s="356">
        <v>42.67</v>
      </c>
      <c r="M465" s="335">
        <v>85.34</v>
      </c>
      <c r="N465" s="335">
        <f t="shared" si="48"/>
        <v>198.36016014765951</v>
      </c>
      <c r="O465" s="335">
        <f t="shared" si="49"/>
        <v>256.7959087918598</v>
      </c>
      <c r="P465" s="335">
        <f t="shared" si="50"/>
        <v>589.80707500000005</v>
      </c>
      <c r="Q465" s="335">
        <f t="shared" si="51"/>
        <v>331.56462663091565</v>
      </c>
      <c r="R465" s="595">
        <v>463</v>
      </c>
    </row>
    <row r="466" spans="1:18" ht="15" customHeight="1">
      <c r="A466" s="607">
        <v>464</v>
      </c>
      <c r="B466" s="799"/>
      <c r="C466" s="333">
        <v>70</v>
      </c>
      <c r="D466" s="334">
        <v>60</v>
      </c>
      <c r="E466" s="337">
        <v>66.849999999999994</v>
      </c>
      <c r="F466" s="336" t="s">
        <v>633</v>
      </c>
      <c r="G466" s="334">
        <v>4</v>
      </c>
      <c r="H466" s="335">
        <v>4.75</v>
      </c>
      <c r="I466" s="335">
        <v>174</v>
      </c>
      <c r="J466" s="335">
        <v>102.83</v>
      </c>
      <c r="K466" s="335">
        <v>35.979999999999997</v>
      </c>
      <c r="L466" s="356">
        <v>43.5</v>
      </c>
      <c r="M466" s="335">
        <v>87</v>
      </c>
      <c r="N466" s="335">
        <f t="shared" si="48"/>
        <v>285.05560919376518</v>
      </c>
      <c r="O466" s="335">
        <f t="shared" si="49"/>
        <v>353.91759869312483</v>
      </c>
      <c r="P466" s="335">
        <f t="shared" si="50"/>
        <v>683.39104166666664</v>
      </c>
      <c r="Q466" s="335">
        <f t="shared" si="51"/>
        <v>416.84498638318189</v>
      </c>
      <c r="R466" s="595">
        <v>464</v>
      </c>
    </row>
    <row r="467" spans="1:18" ht="15" customHeight="1">
      <c r="A467" s="607">
        <v>465</v>
      </c>
      <c r="B467" s="799"/>
      <c r="C467" s="333">
        <v>71</v>
      </c>
      <c r="D467" s="365">
        <v>60</v>
      </c>
      <c r="E467" s="337">
        <v>66.849999999999994</v>
      </c>
      <c r="F467" s="336" t="s">
        <v>634</v>
      </c>
      <c r="G467" s="334">
        <v>6</v>
      </c>
      <c r="H467" s="335">
        <v>7.05</v>
      </c>
      <c r="I467" s="335">
        <v>174</v>
      </c>
      <c r="J467" s="335">
        <v>103.47</v>
      </c>
      <c r="K467" s="335">
        <v>36.619999999999997</v>
      </c>
      <c r="L467" s="356">
        <v>43.5</v>
      </c>
      <c r="M467" s="335">
        <v>87</v>
      </c>
      <c r="N467" s="335">
        <f t="shared" si="48"/>
        <v>285.5125218475269</v>
      </c>
      <c r="O467" s="335">
        <f t="shared" si="49"/>
        <v>354.53812396512234</v>
      </c>
      <c r="P467" s="335">
        <f t="shared" si="50"/>
        <v>687.64437499999997</v>
      </c>
      <c r="Q467" s="335">
        <f t="shared" si="51"/>
        <v>418.75502226147796</v>
      </c>
      <c r="R467" s="595">
        <v>465</v>
      </c>
    </row>
    <row r="468" spans="1:18" ht="15" customHeight="1">
      <c r="A468" s="607">
        <v>466</v>
      </c>
      <c r="B468" s="799"/>
      <c r="C468" s="333">
        <v>72</v>
      </c>
      <c r="D468" s="365">
        <v>60</v>
      </c>
      <c r="E468" s="337">
        <v>66.849999999999994</v>
      </c>
      <c r="F468" s="336" t="s">
        <v>635</v>
      </c>
      <c r="G468" s="334">
        <v>8</v>
      </c>
      <c r="H468" s="335">
        <v>9.4</v>
      </c>
      <c r="I468" s="335">
        <v>174</v>
      </c>
      <c r="J468" s="335">
        <v>103.77</v>
      </c>
      <c r="K468" s="335">
        <v>36.92</v>
      </c>
      <c r="L468" s="356">
        <v>43.5</v>
      </c>
      <c r="M468" s="335">
        <v>87</v>
      </c>
      <c r="N468" s="335">
        <f t="shared" si="48"/>
        <v>286.15662106356496</v>
      </c>
      <c r="O468" s="335">
        <f t="shared" si="49"/>
        <v>355.42738344526492</v>
      </c>
      <c r="P468" s="335">
        <f t="shared" si="50"/>
        <v>689.63812499999995</v>
      </c>
      <c r="Q468" s="335">
        <f t="shared" si="51"/>
        <v>419.84091768545898</v>
      </c>
      <c r="R468" s="595">
        <v>466</v>
      </c>
    </row>
    <row r="469" spans="1:18" ht="15" customHeight="1">
      <c r="A469" s="607">
        <v>467</v>
      </c>
      <c r="B469" s="799"/>
      <c r="C469" s="333">
        <v>73</v>
      </c>
      <c r="D469" s="365">
        <v>60</v>
      </c>
      <c r="E469" s="337">
        <v>66.849999999999994</v>
      </c>
      <c r="F469" s="336" t="s">
        <v>636</v>
      </c>
      <c r="G469" s="334">
        <v>10</v>
      </c>
      <c r="H469" s="335">
        <v>12</v>
      </c>
      <c r="I469" s="335">
        <v>174</v>
      </c>
      <c r="J469" s="335">
        <v>103.77</v>
      </c>
      <c r="K469" s="335">
        <v>36.92</v>
      </c>
      <c r="L469" s="356">
        <v>43.5</v>
      </c>
      <c r="M469" s="335">
        <v>87</v>
      </c>
      <c r="N469" s="335">
        <f t="shared" si="48"/>
        <v>286.97212615655928</v>
      </c>
      <c r="O469" s="335">
        <f t="shared" si="49"/>
        <v>356.68779187232622</v>
      </c>
      <c r="P469" s="335">
        <f t="shared" si="50"/>
        <v>689.63812499999995</v>
      </c>
      <c r="Q469" s="335">
        <f t="shared" si="51"/>
        <v>420.15225940762878</v>
      </c>
      <c r="R469" s="595">
        <v>467</v>
      </c>
    </row>
    <row r="470" spans="1:18" ht="15" customHeight="1">
      <c r="A470" s="607">
        <v>468</v>
      </c>
      <c r="B470" s="799"/>
      <c r="C470" s="333">
        <v>74</v>
      </c>
      <c r="D470" s="365">
        <v>60</v>
      </c>
      <c r="E470" s="337">
        <v>66.849999999999994</v>
      </c>
      <c r="F470" s="336" t="s">
        <v>637</v>
      </c>
      <c r="G470" s="334">
        <v>12</v>
      </c>
      <c r="H470" s="335">
        <v>14.58</v>
      </c>
      <c r="I470" s="335">
        <v>174</v>
      </c>
      <c r="J470" s="335">
        <v>104.23</v>
      </c>
      <c r="K470" s="335">
        <v>37.380000000000003</v>
      </c>
      <c r="L470" s="356">
        <v>43.5</v>
      </c>
      <c r="M470" s="335">
        <v>87</v>
      </c>
      <c r="N470" s="335">
        <f t="shared" si="48"/>
        <v>288.02906846274618</v>
      </c>
      <c r="O470" s="335">
        <f t="shared" si="49"/>
        <v>358.3301367282595</v>
      </c>
      <c r="P470" s="335">
        <f t="shared" si="50"/>
        <v>692.69520833333343</v>
      </c>
      <c r="Q470" s="335">
        <f t="shared" si="51"/>
        <v>421.7750971047758</v>
      </c>
      <c r="R470" s="595">
        <v>468</v>
      </c>
    </row>
    <row r="471" spans="1:18" ht="15" customHeight="1">
      <c r="A471" s="607">
        <v>469</v>
      </c>
      <c r="B471" s="799"/>
      <c r="C471" s="333">
        <v>75</v>
      </c>
      <c r="D471" s="365">
        <v>60</v>
      </c>
      <c r="E471" s="337">
        <v>66.849999999999994</v>
      </c>
      <c r="F471" s="336" t="s">
        <v>638</v>
      </c>
      <c r="G471" s="365">
        <v>15</v>
      </c>
      <c r="H471" s="335">
        <v>17.73</v>
      </c>
      <c r="I471" s="335">
        <v>174</v>
      </c>
      <c r="J471" s="335">
        <v>102.98</v>
      </c>
      <c r="K471" s="335">
        <v>36.130000000000003</v>
      </c>
      <c r="L471" s="356">
        <v>43.5</v>
      </c>
      <c r="M471" s="335">
        <v>87</v>
      </c>
      <c r="N471" s="335">
        <f t="shared" si="48"/>
        <v>289.64216175313237</v>
      </c>
      <c r="O471" s="335">
        <f t="shared" si="49"/>
        <v>360.32103602857717</v>
      </c>
      <c r="P471" s="335">
        <f t="shared" si="50"/>
        <v>684.38791666666668</v>
      </c>
      <c r="Q471" s="335">
        <f t="shared" si="51"/>
        <v>419.26891400836814</v>
      </c>
      <c r="R471" s="595">
        <v>469</v>
      </c>
    </row>
    <row r="472" spans="1:18" ht="15" customHeight="1">
      <c r="A472" s="607">
        <v>470</v>
      </c>
      <c r="B472" s="799"/>
      <c r="C472" s="333">
        <v>76</v>
      </c>
      <c r="D472" s="365">
        <v>60</v>
      </c>
      <c r="E472" s="337">
        <v>66.849999999999994</v>
      </c>
      <c r="F472" s="336" t="s">
        <v>639</v>
      </c>
      <c r="G472" s="365">
        <v>18</v>
      </c>
      <c r="H472" s="335">
        <v>21.45</v>
      </c>
      <c r="I472" s="335">
        <v>174</v>
      </c>
      <c r="J472" s="335">
        <v>105.37</v>
      </c>
      <c r="K472" s="335">
        <v>38.520000000000003</v>
      </c>
      <c r="L472" s="356">
        <v>43.5</v>
      </c>
      <c r="M472" s="335">
        <v>87</v>
      </c>
      <c r="N472" s="335">
        <f t="shared" si="48"/>
        <v>292.51761896656262</v>
      </c>
      <c r="O472" s="335">
        <f t="shared" si="49"/>
        <v>364.51762823963782</v>
      </c>
      <c r="P472" s="335">
        <f t="shared" si="50"/>
        <v>700.27145833333338</v>
      </c>
      <c r="Q472" s="335">
        <f t="shared" si="51"/>
        <v>426.81915100404086</v>
      </c>
      <c r="R472" s="595">
        <v>470</v>
      </c>
    </row>
    <row r="473" spans="1:18" ht="15" customHeight="1">
      <c r="A473" s="607">
        <v>471</v>
      </c>
      <c r="B473" s="799"/>
      <c r="C473" s="333">
        <v>77</v>
      </c>
      <c r="D473" s="365">
        <v>60</v>
      </c>
      <c r="E473" s="337">
        <v>66.849999999999994</v>
      </c>
      <c r="F473" s="336" t="s">
        <v>640</v>
      </c>
      <c r="G473" s="365">
        <v>24</v>
      </c>
      <c r="H473" s="335">
        <v>28.2</v>
      </c>
      <c r="I473" s="335">
        <v>174</v>
      </c>
      <c r="J473" s="335">
        <v>106.19</v>
      </c>
      <c r="K473" s="335">
        <v>39.340000000000003</v>
      </c>
      <c r="L473" s="356">
        <v>43.5</v>
      </c>
      <c r="M473" s="335">
        <v>87</v>
      </c>
      <c r="N473" s="335">
        <f t="shared" si="48"/>
        <v>299.02202475643247</v>
      </c>
      <c r="O473" s="335">
        <f t="shared" si="49"/>
        <v>373.18968141873017</v>
      </c>
      <c r="P473" s="335">
        <f t="shared" si="50"/>
        <v>705.72104166666668</v>
      </c>
      <c r="Q473" s="335">
        <f t="shared" si="51"/>
        <v>432.03456885560706</v>
      </c>
      <c r="R473" s="595">
        <v>471</v>
      </c>
    </row>
    <row r="474" spans="1:18" ht="15" customHeight="1" thickBot="1">
      <c r="A474" s="607">
        <v>472</v>
      </c>
      <c r="B474" s="818"/>
      <c r="C474" s="345">
        <v>78</v>
      </c>
      <c r="D474" s="366">
        <v>60</v>
      </c>
      <c r="E474" s="349">
        <v>66.849999999999994</v>
      </c>
      <c r="F474" s="368" t="s">
        <v>641</v>
      </c>
      <c r="G474" s="366">
        <v>30</v>
      </c>
      <c r="H474" s="344">
        <v>34.89</v>
      </c>
      <c r="I474" s="347">
        <v>174</v>
      </c>
      <c r="J474" s="347">
        <v>102.85</v>
      </c>
      <c r="K474" s="347">
        <v>36</v>
      </c>
      <c r="L474" s="359">
        <v>43.5</v>
      </c>
      <c r="M474" s="347">
        <v>87</v>
      </c>
      <c r="N474" s="347">
        <f t="shared" si="48"/>
        <v>304.34178831651121</v>
      </c>
      <c r="O474" s="347">
        <f t="shared" si="49"/>
        <v>379.98340171205689</v>
      </c>
      <c r="P474" s="347">
        <f t="shared" si="50"/>
        <v>683.52395833333333</v>
      </c>
      <c r="Q474" s="347">
        <f t="shared" si="51"/>
        <v>425.75801096502181</v>
      </c>
      <c r="R474" s="595">
        <v>472</v>
      </c>
    </row>
    <row r="475" spans="1:18" ht="15" customHeight="1" thickTop="1">
      <c r="A475" s="607">
        <v>473</v>
      </c>
      <c r="B475" s="814" t="s">
        <v>642</v>
      </c>
      <c r="C475" s="597">
        <v>1</v>
      </c>
      <c r="D475" s="351">
        <v>8</v>
      </c>
      <c r="E475" s="335">
        <v>9.4</v>
      </c>
      <c r="F475" s="362" t="s">
        <v>643</v>
      </c>
      <c r="G475" s="351">
        <v>8</v>
      </c>
      <c r="H475" s="352">
        <v>9.4</v>
      </c>
      <c r="I475" s="352">
        <v>45.51</v>
      </c>
      <c r="J475" s="352">
        <v>48.42</v>
      </c>
      <c r="K475" s="352">
        <v>39.020000000000003</v>
      </c>
      <c r="L475" s="354">
        <v>36.11</v>
      </c>
      <c r="M475" s="364" t="s">
        <v>275</v>
      </c>
      <c r="N475" s="352">
        <f>PI()*D475^2/4*(J475+L475-12)/1728</f>
        <v>2.1098121774524787</v>
      </c>
      <c r="O475" s="352">
        <f>PI()*E475^2/4*(J475+L475-12)/1728</f>
        <v>2.9128594374953285</v>
      </c>
      <c r="P475" s="352">
        <f>66*I475*J475/1728</f>
        <v>84.165056249999992</v>
      </c>
      <c r="Q475" s="352">
        <f>0.4*(P475-O475)+N475</f>
        <v>34.610690902454344</v>
      </c>
      <c r="R475" s="595">
        <v>473</v>
      </c>
    </row>
    <row r="476" spans="1:18" ht="15" customHeight="1">
      <c r="A476" s="607">
        <v>474</v>
      </c>
      <c r="B476" s="815"/>
      <c r="C476" s="598">
        <v>2</v>
      </c>
      <c r="D476" s="334">
        <v>10</v>
      </c>
      <c r="E476" s="335">
        <v>12</v>
      </c>
      <c r="F476" s="336" t="s">
        <v>644</v>
      </c>
      <c r="G476" s="334">
        <v>10</v>
      </c>
      <c r="H476" s="335">
        <v>12</v>
      </c>
      <c r="I476" s="335">
        <v>49.08</v>
      </c>
      <c r="J476" s="335">
        <v>49.08</v>
      </c>
      <c r="K476" s="335">
        <v>37.08</v>
      </c>
      <c r="L476" s="356">
        <v>37.08</v>
      </c>
      <c r="M476" s="338" t="s">
        <v>275</v>
      </c>
      <c r="N476" s="335">
        <f t="shared" ref="N476:N481" si="52">PI()*D476^2/4*(J476+L476-12)/1728</f>
        <v>3.3706671179140488</v>
      </c>
      <c r="O476" s="335">
        <f t="shared" ref="O476:O481" si="53">PI()*E476^2/4*(J476+L476-12)/1728</f>
        <v>4.8537606497962305</v>
      </c>
      <c r="P476" s="335">
        <f t="shared" ref="P476:P481" si="54">66*I476*J476/1728</f>
        <v>92.004549999999995</v>
      </c>
      <c r="Q476" s="335">
        <f t="shared" ref="Q476:Q481" si="55">0.4*(P476-O476)+N476</f>
        <v>38.230982857995556</v>
      </c>
      <c r="R476" s="595">
        <v>474</v>
      </c>
    </row>
    <row r="477" spans="1:18" ht="15" customHeight="1">
      <c r="A477" s="607">
        <v>475</v>
      </c>
      <c r="B477" s="815"/>
      <c r="C477" s="598">
        <v>3</v>
      </c>
      <c r="D477" s="334">
        <v>12</v>
      </c>
      <c r="E477" s="335">
        <v>14.58</v>
      </c>
      <c r="F477" s="336" t="s">
        <v>645</v>
      </c>
      <c r="G477" s="334">
        <v>12</v>
      </c>
      <c r="H477" s="335">
        <v>14.58</v>
      </c>
      <c r="I477" s="335">
        <v>50.56</v>
      </c>
      <c r="J477" s="335">
        <v>50.56</v>
      </c>
      <c r="K477" s="335">
        <v>35.979999999999997</v>
      </c>
      <c r="L477" s="356">
        <v>35.979999999999997</v>
      </c>
      <c r="M477" s="338" t="s">
        <v>275</v>
      </c>
      <c r="N477" s="335">
        <f t="shared" si="52"/>
        <v>4.8786315916371494</v>
      </c>
      <c r="O477" s="335">
        <f t="shared" si="53"/>
        <v>7.201957921364551</v>
      </c>
      <c r="P477" s="335">
        <f t="shared" si="54"/>
        <v>97.636977777777787</v>
      </c>
      <c r="Q477" s="335">
        <f t="shared" si="55"/>
        <v>41.052639534202449</v>
      </c>
      <c r="R477" s="595">
        <v>475</v>
      </c>
    </row>
    <row r="478" spans="1:18" ht="15" customHeight="1">
      <c r="A478" s="607">
        <v>476</v>
      </c>
      <c r="B478" s="815"/>
      <c r="C478" s="598">
        <v>4</v>
      </c>
      <c r="D478" s="334">
        <v>15</v>
      </c>
      <c r="E478" s="335">
        <v>17.73</v>
      </c>
      <c r="F478" s="336" t="s">
        <v>646</v>
      </c>
      <c r="G478" s="334">
        <v>15</v>
      </c>
      <c r="H478" s="335">
        <v>17.73</v>
      </c>
      <c r="I478" s="335">
        <v>55.32</v>
      </c>
      <c r="J478" s="335">
        <v>52.74</v>
      </c>
      <c r="K478" s="335">
        <v>35.01</v>
      </c>
      <c r="L478" s="356">
        <v>37.590000000000003</v>
      </c>
      <c r="M478" s="338" t="s">
        <v>275</v>
      </c>
      <c r="N478" s="335">
        <f t="shared" si="52"/>
        <v>8.0104476743388187</v>
      </c>
      <c r="O478" s="335">
        <f t="shared" si="53"/>
        <v>11.191588696562949</v>
      </c>
      <c r="P478" s="335">
        <f t="shared" si="54"/>
        <v>111.435225</v>
      </c>
      <c r="Q478" s="335">
        <f t="shared" si="55"/>
        <v>48.107902195713649</v>
      </c>
      <c r="R478" s="595">
        <v>476</v>
      </c>
    </row>
    <row r="479" spans="1:18" ht="15" customHeight="1">
      <c r="A479" s="607">
        <v>477</v>
      </c>
      <c r="B479" s="815"/>
      <c r="C479" s="598">
        <v>5</v>
      </c>
      <c r="D479" s="334">
        <v>18</v>
      </c>
      <c r="E479" s="335">
        <v>21.45</v>
      </c>
      <c r="F479" s="336" t="s">
        <v>647</v>
      </c>
      <c r="G479" s="334">
        <v>18</v>
      </c>
      <c r="H479" s="335">
        <v>21.45</v>
      </c>
      <c r="I479" s="335">
        <v>58.13</v>
      </c>
      <c r="J479" s="335">
        <v>55.16</v>
      </c>
      <c r="K479" s="335">
        <v>33.71</v>
      </c>
      <c r="L479" s="356">
        <v>36.68</v>
      </c>
      <c r="M479" s="338" t="s">
        <v>275</v>
      </c>
      <c r="N479" s="335">
        <f t="shared" si="52"/>
        <v>11.7574105060598</v>
      </c>
      <c r="O479" s="335">
        <f t="shared" si="53"/>
        <v>16.696339405445617</v>
      </c>
      <c r="P479" s="335">
        <f t="shared" si="54"/>
        <v>122.46860694444446</v>
      </c>
      <c r="Q479" s="335">
        <f t="shared" si="55"/>
        <v>54.066317521659343</v>
      </c>
      <c r="R479" s="595">
        <v>477</v>
      </c>
    </row>
    <row r="480" spans="1:18" ht="15" customHeight="1">
      <c r="A480" s="607">
        <v>478</v>
      </c>
      <c r="B480" s="815"/>
      <c r="C480" s="598">
        <v>6</v>
      </c>
      <c r="D480" s="334">
        <v>24</v>
      </c>
      <c r="E480" s="335">
        <v>28.2</v>
      </c>
      <c r="F480" s="336" t="s">
        <v>484</v>
      </c>
      <c r="G480" s="334">
        <v>24</v>
      </c>
      <c r="H480" s="335">
        <v>28.2</v>
      </c>
      <c r="I480" s="335">
        <v>65.25</v>
      </c>
      <c r="J480" s="335">
        <v>57.38</v>
      </c>
      <c r="K480" s="335">
        <v>29.18</v>
      </c>
      <c r="L480" s="356">
        <v>37.049999999999997</v>
      </c>
      <c r="M480" s="338" t="s">
        <v>275</v>
      </c>
      <c r="N480" s="335">
        <f t="shared" si="52"/>
        <v>21.580123536283889</v>
      </c>
      <c r="O480" s="335">
        <f t="shared" si="53"/>
        <v>29.794058057281944</v>
      </c>
      <c r="P480" s="335">
        <f t="shared" si="54"/>
        <v>143.00171875000001</v>
      </c>
      <c r="Q480" s="335">
        <f t="shared" si="55"/>
        <v>66.863187813371113</v>
      </c>
      <c r="R480" s="595">
        <v>478</v>
      </c>
    </row>
    <row r="481" spans="1:18" ht="15" customHeight="1" thickBot="1">
      <c r="A481" s="607">
        <v>479</v>
      </c>
      <c r="B481" s="816"/>
      <c r="C481" s="599">
        <v>7</v>
      </c>
      <c r="D481" s="346">
        <v>30</v>
      </c>
      <c r="E481" s="349">
        <v>34.89</v>
      </c>
      <c r="F481" s="360" t="s">
        <v>648</v>
      </c>
      <c r="G481" s="346">
        <v>30</v>
      </c>
      <c r="H481" s="349">
        <v>34.89</v>
      </c>
      <c r="I481" s="347">
        <v>73.45</v>
      </c>
      <c r="J481" s="347">
        <v>61.45</v>
      </c>
      <c r="K481" s="347">
        <v>26.56</v>
      </c>
      <c r="L481" s="359">
        <v>38.56</v>
      </c>
      <c r="M481" s="350" t="s">
        <v>275</v>
      </c>
      <c r="N481" s="347">
        <f t="shared" si="52"/>
        <v>36.001506437817412</v>
      </c>
      <c r="O481" s="347">
        <f t="shared" si="53"/>
        <v>48.694521561092266</v>
      </c>
      <c r="P481" s="347">
        <f t="shared" si="54"/>
        <v>172.39072048611109</v>
      </c>
      <c r="Q481" s="347">
        <f t="shared" si="55"/>
        <v>85.479986007824948</v>
      </c>
      <c r="R481" s="595">
        <v>479</v>
      </c>
    </row>
    <row r="482" spans="1:18" ht="15" customHeight="1" thickTop="1">
      <c r="A482" s="607">
        <v>480</v>
      </c>
      <c r="B482" s="798" t="s">
        <v>851</v>
      </c>
      <c r="C482" s="361">
        <v>1</v>
      </c>
      <c r="D482" s="351">
        <v>8</v>
      </c>
      <c r="E482" s="363">
        <v>9.4</v>
      </c>
      <c r="F482" s="362" t="s">
        <v>854</v>
      </c>
      <c r="G482" s="351">
        <v>4</v>
      </c>
      <c r="H482" s="352">
        <v>4.75</v>
      </c>
      <c r="I482" s="352">
        <v>109.8</v>
      </c>
      <c r="J482" s="352">
        <v>57.16</v>
      </c>
      <c r="K482" s="352">
        <v>47.76</v>
      </c>
      <c r="L482" s="354">
        <v>54.9</v>
      </c>
      <c r="M482" s="364" t="s">
        <v>275</v>
      </c>
      <c r="N482" s="352">
        <f>PI()*D482^2/4*I482/1728+PI()*G482^2/4*(K482-12)/1728</f>
        <v>3.4540065896967778</v>
      </c>
      <c r="O482" s="352">
        <f t="shared" ref="O482:O548" si="56">PI()*E482^2/4*I482/1728+PI()*H482^2/4*(K482-12)/1728</f>
        <v>4.7763675693165855</v>
      </c>
      <c r="P482" s="352">
        <f>66*I482*J482/1728</f>
        <v>239.71474999999998</v>
      </c>
      <c r="Q482" s="352">
        <f>0.4*(P482-O482)+N482</f>
        <v>97.429359561970131</v>
      </c>
      <c r="R482" s="595">
        <v>480</v>
      </c>
    </row>
    <row r="483" spans="1:18" ht="15" customHeight="1">
      <c r="A483" s="607">
        <v>481</v>
      </c>
      <c r="B483" s="799"/>
      <c r="C483" s="333">
        <v>2</v>
      </c>
      <c r="D483" s="365">
        <v>8</v>
      </c>
      <c r="E483" s="337">
        <v>9.4</v>
      </c>
      <c r="F483" s="336" t="s">
        <v>1018</v>
      </c>
      <c r="G483" s="334">
        <v>6</v>
      </c>
      <c r="H483" s="335">
        <v>7.05</v>
      </c>
      <c r="I483" s="335">
        <v>109.8</v>
      </c>
      <c r="J483" s="335">
        <v>57.71</v>
      </c>
      <c r="K483" s="335">
        <v>48.31</v>
      </c>
      <c r="L483" s="356">
        <v>54.9</v>
      </c>
      <c r="M483" s="338" t="s">
        <v>275</v>
      </c>
      <c r="N483" s="335">
        <f t="shared" ref="N483:N549" si="57">PI()*D483^2/4*I483/1728+PI()*G483^2/4*(K483-12)/1728</f>
        <v>3.7880735168363175</v>
      </c>
      <c r="O483" s="335">
        <f t="shared" si="56"/>
        <v>5.2299089991821415</v>
      </c>
      <c r="P483" s="335">
        <f t="shared" ref="P483:P549" si="58">66*I483*J483/1728</f>
        <v>242.02131250000002</v>
      </c>
      <c r="Q483" s="335">
        <f t="shared" ref="Q483:Q549" si="59">0.4*(P483-O483)+N483</f>
        <v>98.504634917163486</v>
      </c>
      <c r="R483" s="595">
        <v>481</v>
      </c>
    </row>
    <row r="484" spans="1:18" ht="15" customHeight="1">
      <c r="A484" s="607">
        <v>482</v>
      </c>
      <c r="B484" s="799"/>
      <c r="C484" s="333">
        <v>3</v>
      </c>
      <c r="D484" s="365">
        <v>8</v>
      </c>
      <c r="E484" s="337">
        <v>9.4</v>
      </c>
      <c r="F484" s="336" t="s">
        <v>856</v>
      </c>
      <c r="G484" s="334">
        <v>8</v>
      </c>
      <c r="H484" s="335">
        <v>9.4</v>
      </c>
      <c r="I484" s="335">
        <v>109.8</v>
      </c>
      <c r="J484" s="335">
        <v>57.98</v>
      </c>
      <c r="K484" s="335">
        <v>48.58</v>
      </c>
      <c r="L484" s="356">
        <v>54.9</v>
      </c>
      <c r="M484" s="338" t="s">
        <v>275</v>
      </c>
      <c r="N484" s="335">
        <f t="shared" si="57"/>
        <v>4.2580215984488321</v>
      </c>
      <c r="O484" s="335">
        <f t="shared" si="56"/>
        <v>5.8787310693584196</v>
      </c>
      <c r="P484" s="335">
        <f t="shared" si="58"/>
        <v>243.15362499999998</v>
      </c>
      <c r="Q484" s="335">
        <f t="shared" si="59"/>
        <v>99.167979170705465</v>
      </c>
      <c r="R484" s="595">
        <v>482</v>
      </c>
    </row>
    <row r="485" spans="1:18" ht="15" customHeight="1">
      <c r="A485" s="607">
        <v>483</v>
      </c>
      <c r="B485" s="799"/>
      <c r="C485" s="333">
        <v>4</v>
      </c>
      <c r="D485" s="334">
        <v>10</v>
      </c>
      <c r="E485" s="337">
        <v>12</v>
      </c>
      <c r="F485" s="336" t="s">
        <v>857</v>
      </c>
      <c r="G485" s="334">
        <v>4</v>
      </c>
      <c r="H485" s="335">
        <v>4.75</v>
      </c>
      <c r="I485" s="335">
        <v>109.24</v>
      </c>
      <c r="J485" s="335">
        <v>59.76</v>
      </c>
      <c r="K485" s="335">
        <v>47.76</v>
      </c>
      <c r="L485" s="356">
        <v>64.62</v>
      </c>
      <c r="M485" s="338" t="s">
        <v>275</v>
      </c>
      <c r="N485" s="335">
        <f t="shared" si="57"/>
        <v>5.2251521702101904</v>
      </c>
      <c r="O485" s="335">
        <f t="shared" si="56"/>
        <v>7.5164581367929069</v>
      </c>
      <c r="P485" s="335">
        <f t="shared" si="58"/>
        <v>249.34029999999998</v>
      </c>
      <c r="Q485" s="335">
        <f t="shared" si="59"/>
        <v>101.95468891549302</v>
      </c>
      <c r="R485" s="595">
        <v>483</v>
      </c>
    </row>
    <row r="486" spans="1:18" ht="15" customHeight="1">
      <c r="A486" s="607">
        <v>484</v>
      </c>
      <c r="B486" s="799"/>
      <c r="C486" s="333">
        <v>5</v>
      </c>
      <c r="D486" s="365">
        <v>10</v>
      </c>
      <c r="E486" s="337">
        <v>12</v>
      </c>
      <c r="F486" s="336" t="s">
        <v>858</v>
      </c>
      <c r="G486" s="334">
        <v>6</v>
      </c>
      <c r="H486" s="335">
        <v>7.05</v>
      </c>
      <c r="I486" s="335">
        <v>109.24</v>
      </c>
      <c r="J486" s="335">
        <v>60.31</v>
      </c>
      <c r="K486" s="335">
        <v>48.31</v>
      </c>
      <c r="L486" s="356">
        <v>64.62</v>
      </c>
      <c r="M486" s="338" t="s">
        <v>275</v>
      </c>
      <c r="N486" s="335">
        <f t="shared" si="57"/>
        <v>5.5592190973497306</v>
      </c>
      <c r="O486" s="335">
        <f t="shared" si="56"/>
        <v>7.9699995666584629</v>
      </c>
      <c r="P486" s="335">
        <f t="shared" si="58"/>
        <v>251.63509861111109</v>
      </c>
      <c r="Q486" s="335">
        <f t="shared" si="59"/>
        <v>103.02525871513079</v>
      </c>
      <c r="R486" s="595">
        <v>484</v>
      </c>
    </row>
    <row r="487" spans="1:18" ht="15" customHeight="1">
      <c r="A487" s="607">
        <v>485</v>
      </c>
      <c r="B487" s="799"/>
      <c r="C487" s="333">
        <v>6</v>
      </c>
      <c r="D487" s="365">
        <v>10</v>
      </c>
      <c r="E487" s="337">
        <v>12</v>
      </c>
      <c r="F487" s="336" t="s">
        <v>859</v>
      </c>
      <c r="G487" s="334">
        <v>8</v>
      </c>
      <c r="H487" s="335">
        <v>9.4</v>
      </c>
      <c r="I487" s="335">
        <v>109.24</v>
      </c>
      <c r="J487" s="335">
        <v>60.58</v>
      </c>
      <c r="K487" s="335">
        <v>48.58</v>
      </c>
      <c r="L487" s="356">
        <v>64.62</v>
      </c>
      <c r="M487" s="338" t="s">
        <v>275</v>
      </c>
      <c r="N487" s="335">
        <f t="shared" si="57"/>
        <v>6.0291671789622452</v>
      </c>
      <c r="O487" s="335">
        <f t="shared" si="56"/>
        <v>8.6188216368347419</v>
      </c>
      <c r="P487" s="335">
        <f t="shared" si="58"/>
        <v>252.7616361111111</v>
      </c>
      <c r="Q487" s="335">
        <f t="shared" si="59"/>
        <v>103.68629296867279</v>
      </c>
      <c r="R487" s="595">
        <v>485</v>
      </c>
    </row>
    <row r="488" spans="1:18" ht="15" customHeight="1">
      <c r="A488" s="607">
        <v>486</v>
      </c>
      <c r="B488" s="799"/>
      <c r="C488" s="333">
        <v>7</v>
      </c>
      <c r="D488" s="365">
        <v>10</v>
      </c>
      <c r="E488" s="337">
        <v>12</v>
      </c>
      <c r="F488" s="336" t="s">
        <v>860</v>
      </c>
      <c r="G488" s="334">
        <v>10</v>
      </c>
      <c r="H488" s="335">
        <v>12</v>
      </c>
      <c r="I488" s="335">
        <v>109.24</v>
      </c>
      <c r="J488" s="335">
        <v>59.69</v>
      </c>
      <c r="K488" s="335">
        <v>47.69</v>
      </c>
      <c r="L488" s="356">
        <v>64.62</v>
      </c>
      <c r="M488" s="338" t="s">
        <v>275</v>
      </c>
      <c r="N488" s="335">
        <f t="shared" si="57"/>
        <v>6.5872543878004741</v>
      </c>
      <c r="O488" s="335">
        <f t="shared" si="56"/>
        <v>9.4856463184326802</v>
      </c>
      <c r="P488" s="335">
        <f t="shared" si="58"/>
        <v>249.04823472222219</v>
      </c>
      <c r="Q488" s="335">
        <f t="shared" si="59"/>
        <v>102.41228974931627</v>
      </c>
      <c r="R488" s="595">
        <v>486</v>
      </c>
    </row>
    <row r="489" spans="1:18" ht="15" customHeight="1">
      <c r="A489" s="607">
        <v>487</v>
      </c>
      <c r="B489" s="799"/>
      <c r="C489" s="333">
        <v>8</v>
      </c>
      <c r="D489" s="334">
        <v>12</v>
      </c>
      <c r="E489" s="337">
        <v>14.58</v>
      </c>
      <c r="F489" s="336" t="s">
        <v>861</v>
      </c>
      <c r="G489" s="334">
        <v>4</v>
      </c>
      <c r="H489" s="335">
        <v>4.75</v>
      </c>
      <c r="I489" s="335">
        <v>110.16</v>
      </c>
      <c r="J489" s="335">
        <v>62.34</v>
      </c>
      <c r="K489" s="335">
        <v>47.76</v>
      </c>
      <c r="L489" s="356">
        <v>55.08</v>
      </c>
      <c r="M489" s="338" t="s">
        <v>275</v>
      </c>
      <c r="N489" s="335">
        <f t="shared" si="57"/>
        <v>7.4700091985357293</v>
      </c>
      <c r="O489" s="335">
        <f t="shared" si="56"/>
        <v>11.01023288252777</v>
      </c>
      <c r="P489" s="335">
        <f t="shared" si="58"/>
        <v>262.29554999999999</v>
      </c>
      <c r="Q489" s="335">
        <f t="shared" si="59"/>
        <v>107.98413604552464</v>
      </c>
      <c r="R489" s="595">
        <v>487</v>
      </c>
    </row>
    <row r="490" spans="1:18" ht="15" customHeight="1">
      <c r="A490" s="607">
        <v>488</v>
      </c>
      <c r="B490" s="799"/>
      <c r="C490" s="333">
        <v>9</v>
      </c>
      <c r="D490" s="365">
        <v>12</v>
      </c>
      <c r="E490" s="337">
        <v>14.58</v>
      </c>
      <c r="F490" s="336" t="s">
        <v>862</v>
      </c>
      <c r="G490" s="334">
        <v>6</v>
      </c>
      <c r="H490" s="335">
        <v>7.05</v>
      </c>
      <c r="I490" s="335">
        <v>110.16</v>
      </c>
      <c r="J490" s="335">
        <v>62.89</v>
      </c>
      <c r="K490" s="335">
        <v>48.31</v>
      </c>
      <c r="L490" s="356">
        <v>55.08</v>
      </c>
      <c r="M490" s="338" t="s">
        <v>275</v>
      </c>
      <c r="N490" s="335">
        <f t="shared" si="57"/>
        <v>7.8040761256752695</v>
      </c>
      <c r="O490" s="335">
        <f t="shared" si="56"/>
        <v>11.463774312393326</v>
      </c>
      <c r="P490" s="335">
        <f t="shared" si="58"/>
        <v>264.60967499999998</v>
      </c>
      <c r="Q490" s="335">
        <f t="shared" si="59"/>
        <v>109.06243640071793</v>
      </c>
      <c r="R490" s="595">
        <v>488</v>
      </c>
    </row>
    <row r="491" spans="1:18" ht="15" customHeight="1">
      <c r="A491" s="607">
        <v>489</v>
      </c>
      <c r="B491" s="799"/>
      <c r="C491" s="333">
        <v>10</v>
      </c>
      <c r="D491" s="365">
        <v>12</v>
      </c>
      <c r="E491" s="337">
        <v>14.58</v>
      </c>
      <c r="F491" s="336" t="s">
        <v>863</v>
      </c>
      <c r="G491" s="334">
        <v>8</v>
      </c>
      <c r="H491" s="335">
        <v>9.4</v>
      </c>
      <c r="I491" s="335">
        <v>110.16</v>
      </c>
      <c r="J491" s="335">
        <v>63.16</v>
      </c>
      <c r="K491" s="335">
        <v>48.58</v>
      </c>
      <c r="L491" s="356">
        <v>55.08</v>
      </c>
      <c r="M491" s="338" t="s">
        <v>275</v>
      </c>
      <c r="N491" s="335">
        <f t="shared" si="57"/>
        <v>8.2740242072877841</v>
      </c>
      <c r="O491" s="335">
        <f t="shared" si="56"/>
        <v>12.112596382569604</v>
      </c>
      <c r="P491" s="335">
        <f t="shared" si="58"/>
        <v>265.74569999999994</v>
      </c>
      <c r="Q491" s="335">
        <f t="shared" si="59"/>
        <v>109.72726565425992</v>
      </c>
      <c r="R491" s="595">
        <v>489</v>
      </c>
    </row>
    <row r="492" spans="1:18" ht="15" customHeight="1">
      <c r="A492" s="607">
        <v>490</v>
      </c>
      <c r="B492" s="799"/>
      <c r="C492" s="333">
        <v>11</v>
      </c>
      <c r="D492" s="365">
        <v>12</v>
      </c>
      <c r="E492" s="337">
        <v>14.58</v>
      </c>
      <c r="F492" s="336" t="s">
        <v>864</v>
      </c>
      <c r="G492" s="334">
        <v>10</v>
      </c>
      <c r="H492" s="335">
        <v>12</v>
      </c>
      <c r="I492" s="335">
        <v>110.16</v>
      </c>
      <c r="J492" s="335">
        <v>62.27</v>
      </c>
      <c r="K492" s="335">
        <v>47.69</v>
      </c>
      <c r="L492" s="356">
        <v>55.08</v>
      </c>
      <c r="M492" s="338" t="s">
        <v>275</v>
      </c>
      <c r="N492" s="335">
        <f t="shared" si="57"/>
        <v>8.832111416126013</v>
      </c>
      <c r="O492" s="335">
        <f t="shared" si="56"/>
        <v>12.979421064167544</v>
      </c>
      <c r="P492" s="335">
        <f t="shared" si="58"/>
        <v>262.00102500000003</v>
      </c>
      <c r="Q492" s="335">
        <f t="shared" si="59"/>
        <v>108.440752990459</v>
      </c>
      <c r="R492" s="595">
        <v>490</v>
      </c>
    </row>
    <row r="493" spans="1:18" ht="15" customHeight="1">
      <c r="A493" s="607">
        <v>491</v>
      </c>
      <c r="B493" s="799"/>
      <c r="C493" s="333">
        <v>12</v>
      </c>
      <c r="D493" s="365">
        <v>12</v>
      </c>
      <c r="E493" s="337">
        <v>14.58</v>
      </c>
      <c r="F493" s="336" t="s">
        <v>865</v>
      </c>
      <c r="G493" s="334">
        <v>12</v>
      </c>
      <c r="H493" s="335">
        <v>14.58</v>
      </c>
      <c r="I493" s="335">
        <v>110.16</v>
      </c>
      <c r="J493" s="337">
        <v>63.76</v>
      </c>
      <c r="K493" s="335">
        <v>49.18</v>
      </c>
      <c r="L493" s="356">
        <v>55.08</v>
      </c>
      <c r="M493" s="338" t="s">
        <v>275</v>
      </c>
      <c r="N493" s="335">
        <f t="shared" si="57"/>
        <v>9.6433804495816684</v>
      </c>
      <c r="O493" s="335">
        <f t="shared" si="56"/>
        <v>14.235799304183699</v>
      </c>
      <c r="P493" s="335">
        <f t="shared" si="58"/>
        <v>268.27019999999999</v>
      </c>
      <c r="Q493" s="335">
        <f t="shared" si="59"/>
        <v>111.25714072790819</v>
      </c>
      <c r="R493" s="595">
        <v>491</v>
      </c>
    </row>
    <row r="494" spans="1:18" ht="15" customHeight="1">
      <c r="A494" s="607">
        <v>492</v>
      </c>
      <c r="B494" s="799"/>
      <c r="C494" s="333">
        <v>13</v>
      </c>
      <c r="D494" s="334">
        <v>15</v>
      </c>
      <c r="E494" s="337">
        <v>17.73</v>
      </c>
      <c r="F494" s="336" t="s">
        <v>866</v>
      </c>
      <c r="G494" s="334">
        <v>4</v>
      </c>
      <c r="H494" s="335">
        <v>4.75</v>
      </c>
      <c r="I494" s="335">
        <v>108.4</v>
      </c>
      <c r="J494" s="337">
        <v>65.489999999999995</v>
      </c>
      <c r="K494" s="335">
        <v>47.76</v>
      </c>
      <c r="L494" s="356">
        <v>54.2</v>
      </c>
      <c r="M494" s="338" t="s">
        <v>275</v>
      </c>
      <c r="N494" s="335">
        <f t="shared" si="57"/>
        <v>11.34562188566739</v>
      </c>
      <c r="O494" s="335">
        <f t="shared" si="56"/>
        <v>15.854629720895668</v>
      </c>
      <c r="P494" s="335">
        <f t="shared" si="58"/>
        <v>271.14679166666667</v>
      </c>
      <c r="Q494" s="335">
        <f t="shared" si="59"/>
        <v>113.4624866639758</v>
      </c>
      <c r="R494" s="595">
        <v>492</v>
      </c>
    </row>
    <row r="495" spans="1:18" ht="15" customHeight="1">
      <c r="A495" s="607">
        <v>493</v>
      </c>
      <c r="B495" s="799"/>
      <c r="C495" s="333">
        <v>14</v>
      </c>
      <c r="D495" s="365">
        <v>15</v>
      </c>
      <c r="E495" s="337">
        <v>17.73</v>
      </c>
      <c r="F495" s="336" t="s">
        <v>867</v>
      </c>
      <c r="G495" s="334">
        <v>6</v>
      </c>
      <c r="H495" s="335">
        <v>7.05</v>
      </c>
      <c r="I495" s="335">
        <v>108.4</v>
      </c>
      <c r="J495" s="335">
        <v>66.040000000000006</v>
      </c>
      <c r="K495" s="335">
        <v>48.31</v>
      </c>
      <c r="L495" s="356">
        <v>54.2</v>
      </c>
      <c r="M495" s="338" t="s">
        <v>275</v>
      </c>
      <c r="N495" s="335">
        <f t="shared" si="57"/>
        <v>11.67968881280693</v>
      </c>
      <c r="O495" s="335">
        <f t="shared" si="56"/>
        <v>16.308171150761225</v>
      </c>
      <c r="P495" s="335">
        <f t="shared" si="58"/>
        <v>273.42394444444449</v>
      </c>
      <c r="Q495" s="335">
        <f t="shared" si="59"/>
        <v>114.52599813028024</v>
      </c>
      <c r="R495" s="595">
        <v>493</v>
      </c>
    </row>
    <row r="496" spans="1:18" ht="15" customHeight="1">
      <c r="A496" s="607">
        <v>494</v>
      </c>
      <c r="B496" s="799"/>
      <c r="C496" s="333">
        <v>15</v>
      </c>
      <c r="D496" s="365">
        <v>15</v>
      </c>
      <c r="E496" s="337">
        <v>17.73</v>
      </c>
      <c r="F496" s="336" t="s">
        <v>868</v>
      </c>
      <c r="G496" s="334">
        <v>8</v>
      </c>
      <c r="H496" s="335">
        <v>9.4</v>
      </c>
      <c r="I496" s="335">
        <v>108.4</v>
      </c>
      <c r="J496" s="337">
        <v>66.31</v>
      </c>
      <c r="K496" s="335">
        <v>48.58</v>
      </c>
      <c r="L496" s="356">
        <v>54.2</v>
      </c>
      <c r="M496" s="338" t="s">
        <v>275</v>
      </c>
      <c r="N496" s="335">
        <f t="shared" si="57"/>
        <v>12.149636894419444</v>
      </c>
      <c r="O496" s="335">
        <f t="shared" si="56"/>
        <v>16.956993220937502</v>
      </c>
      <c r="P496" s="335">
        <f t="shared" si="58"/>
        <v>274.54181944444446</v>
      </c>
      <c r="Q496" s="335">
        <f t="shared" si="59"/>
        <v>115.18356738382224</v>
      </c>
      <c r="R496" s="595">
        <v>494</v>
      </c>
    </row>
    <row r="497" spans="1:18" ht="15" customHeight="1">
      <c r="A497" s="607">
        <v>495</v>
      </c>
      <c r="B497" s="799"/>
      <c r="C497" s="333">
        <v>16</v>
      </c>
      <c r="D497" s="365">
        <v>15</v>
      </c>
      <c r="E497" s="337">
        <v>17.73</v>
      </c>
      <c r="F497" s="336" t="s">
        <v>869</v>
      </c>
      <c r="G497" s="334">
        <v>10</v>
      </c>
      <c r="H497" s="335">
        <v>12</v>
      </c>
      <c r="I497" s="335">
        <v>108.4</v>
      </c>
      <c r="J497" s="337">
        <v>65.42</v>
      </c>
      <c r="K497" s="335">
        <v>47.69</v>
      </c>
      <c r="L497" s="356">
        <v>54.2</v>
      </c>
      <c r="M497" s="338" t="s">
        <v>275</v>
      </c>
      <c r="N497" s="335">
        <f t="shared" si="57"/>
        <v>12.707724103257673</v>
      </c>
      <c r="O497" s="335">
        <f t="shared" si="56"/>
        <v>17.823817902535442</v>
      </c>
      <c r="P497" s="335">
        <f t="shared" si="58"/>
        <v>270.85697222222228</v>
      </c>
      <c r="Q497" s="335">
        <f t="shared" si="59"/>
        <v>113.92098583113241</v>
      </c>
      <c r="R497" s="595">
        <v>495</v>
      </c>
    </row>
    <row r="498" spans="1:18" ht="15" customHeight="1">
      <c r="A498" s="607">
        <v>496</v>
      </c>
      <c r="B498" s="799"/>
      <c r="C498" s="333">
        <v>17</v>
      </c>
      <c r="D498" s="365">
        <v>15</v>
      </c>
      <c r="E498" s="337">
        <v>17.73</v>
      </c>
      <c r="F498" s="336" t="s">
        <v>870</v>
      </c>
      <c r="G498" s="334">
        <v>12</v>
      </c>
      <c r="H498" s="335">
        <v>14.58</v>
      </c>
      <c r="I498" s="335">
        <v>108.4</v>
      </c>
      <c r="J498" s="337">
        <v>66.91</v>
      </c>
      <c r="K498" s="335">
        <v>49.18</v>
      </c>
      <c r="L498" s="356">
        <v>54.2</v>
      </c>
      <c r="M498" s="338" t="s">
        <v>275</v>
      </c>
      <c r="N498" s="335">
        <f t="shared" si="57"/>
        <v>13.518993136713329</v>
      </c>
      <c r="O498" s="335">
        <f t="shared" si="56"/>
        <v>19.080196142551596</v>
      </c>
      <c r="P498" s="335">
        <f t="shared" si="58"/>
        <v>277.02598611111114</v>
      </c>
      <c r="Q498" s="335">
        <f t="shared" si="59"/>
        <v>116.69730912413716</v>
      </c>
      <c r="R498" s="595">
        <v>496</v>
      </c>
    </row>
    <row r="499" spans="1:18" ht="15" customHeight="1">
      <c r="A499" s="607">
        <v>497</v>
      </c>
      <c r="B499" s="799"/>
      <c r="C499" s="333">
        <v>18</v>
      </c>
      <c r="D499" s="365">
        <v>15</v>
      </c>
      <c r="E499" s="337">
        <v>17.73</v>
      </c>
      <c r="F499" s="336" t="s">
        <v>871</v>
      </c>
      <c r="G499" s="365">
        <v>15</v>
      </c>
      <c r="H499" s="335">
        <v>17.73</v>
      </c>
      <c r="I499" s="335">
        <v>108.4</v>
      </c>
      <c r="J499" s="335">
        <v>64.180000000000007</v>
      </c>
      <c r="K499" s="337">
        <v>46.45</v>
      </c>
      <c r="L499" s="356">
        <v>54.2</v>
      </c>
      <c r="M499" s="338" t="s">
        <v>275</v>
      </c>
      <c r="N499" s="335">
        <f t="shared" si="57"/>
        <v>14.608610369964257</v>
      </c>
      <c r="O499" s="335">
        <f t="shared" si="56"/>
        <v>20.410040154525944</v>
      </c>
      <c r="P499" s="335">
        <f t="shared" si="58"/>
        <v>265.72302777777782</v>
      </c>
      <c r="Q499" s="335">
        <f t="shared" si="59"/>
        <v>112.73380541926501</v>
      </c>
      <c r="R499" s="595">
        <v>497</v>
      </c>
    </row>
    <row r="500" spans="1:18" ht="15" customHeight="1">
      <c r="A500" s="607">
        <v>498</v>
      </c>
      <c r="B500" s="799"/>
      <c r="C500" s="333">
        <v>19</v>
      </c>
      <c r="D500" s="334">
        <v>18</v>
      </c>
      <c r="E500" s="337">
        <v>21.45</v>
      </c>
      <c r="F500" s="336" t="s">
        <v>872</v>
      </c>
      <c r="G500" s="334">
        <v>4</v>
      </c>
      <c r="H500" s="335">
        <v>4.75</v>
      </c>
      <c r="I500" s="337">
        <v>109.64</v>
      </c>
      <c r="J500" s="335">
        <v>69.209999999999994</v>
      </c>
      <c r="K500" s="335">
        <v>47.76</v>
      </c>
      <c r="L500" s="356">
        <v>54.82</v>
      </c>
      <c r="M500" s="338" t="s">
        <v>275</v>
      </c>
      <c r="N500" s="335">
        <f t="shared" si="57"/>
        <v>16.405876802590196</v>
      </c>
      <c r="O500" s="335">
        <f t="shared" si="56"/>
        <v>23.294906390229819</v>
      </c>
      <c r="P500" s="335">
        <f t="shared" si="58"/>
        <v>289.82648749999998</v>
      </c>
      <c r="Q500" s="335">
        <f t="shared" si="59"/>
        <v>123.01850924649827</v>
      </c>
      <c r="R500" s="595">
        <v>498</v>
      </c>
    </row>
    <row r="501" spans="1:18" ht="15" customHeight="1">
      <c r="A501" s="607">
        <v>499</v>
      </c>
      <c r="B501" s="799"/>
      <c r="C501" s="333">
        <v>20</v>
      </c>
      <c r="D501" s="365">
        <v>18</v>
      </c>
      <c r="E501" s="337">
        <v>21.45</v>
      </c>
      <c r="F501" s="336" t="s">
        <v>873</v>
      </c>
      <c r="G501" s="334">
        <v>6</v>
      </c>
      <c r="H501" s="335">
        <v>7.05</v>
      </c>
      <c r="I501" s="337">
        <v>109.64</v>
      </c>
      <c r="J501" s="335">
        <v>69.760000000000005</v>
      </c>
      <c r="K501" s="335">
        <v>48.31</v>
      </c>
      <c r="L501" s="356">
        <v>54.82</v>
      </c>
      <c r="M501" s="338" t="s">
        <v>275</v>
      </c>
      <c r="N501" s="335">
        <f t="shared" si="57"/>
        <v>16.739943729729735</v>
      </c>
      <c r="O501" s="335">
        <f t="shared" si="56"/>
        <v>23.748447820095375</v>
      </c>
      <c r="P501" s="335">
        <f t="shared" si="58"/>
        <v>292.12968888888889</v>
      </c>
      <c r="Q501" s="335">
        <f t="shared" si="59"/>
        <v>124.09244015724715</v>
      </c>
      <c r="R501" s="595">
        <v>499</v>
      </c>
    </row>
    <row r="502" spans="1:18" ht="15" customHeight="1">
      <c r="A502" s="607">
        <v>500</v>
      </c>
      <c r="B502" s="799"/>
      <c r="C502" s="333">
        <v>21</v>
      </c>
      <c r="D502" s="365">
        <v>18</v>
      </c>
      <c r="E502" s="337">
        <v>21.45</v>
      </c>
      <c r="F502" s="336" t="s">
        <v>874</v>
      </c>
      <c r="G502" s="334">
        <v>8</v>
      </c>
      <c r="H502" s="335">
        <v>9.4</v>
      </c>
      <c r="I502" s="337">
        <v>109.64</v>
      </c>
      <c r="J502" s="335">
        <v>70.03</v>
      </c>
      <c r="K502" s="335">
        <v>48.58</v>
      </c>
      <c r="L502" s="356">
        <v>54.82</v>
      </c>
      <c r="M502" s="338" t="s">
        <v>275</v>
      </c>
      <c r="N502" s="335">
        <f t="shared" si="57"/>
        <v>17.209891811342249</v>
      </c>
      <c r="O502" s="335">
        <f t="shared" si="56"/>
        <v>24.397269890271652</v>
      </c>
      <c r="P502" s="335">
        <f t="shared" si="58"/>
        <v>293.26035138888886</v>
      </c>
      <c r="Q502" s="335">
        <f t="shared" si="59"/>
        <v>124.75512441078912</v>
      </c>
      <c r="R502" s="595">
        <v>500</v>
      </c>
    </row>
    <row r="503" spans="1:18" ht="15" customHeight="1">
      <c r="A503" s="607">
        <v>501</v>
      </c>
      <c r="B503" s="799"/>
      <c r="C503" s="333">
        <v>22</v>
      </c>
      <c r="D503" s="365">
        <v>18</v>
      </c>
      <c r="E503" s="337">
        <v>21.45</v>
      </c>
      <c r="F503" s="336" t="s">
        <v>875</v>
      </c>
      <c r="G503" s="334">
        <v>10</v>
      </c>
      <c r="H503" s="335">
        <v>12</v>
      </c>
      <c r="I503" s="337">
        <v>109.64</v>
      </c>
      <c r="J503" s="335">
        <v>69.14</v>
      </c>
      <c r="K503" s="335">
        <v>47.69</v>
      </c>
      <c r="L503" s="356">
        <v>54.82</v>
      </c>
      <c r="M503" s="338" t="s">
        <v>275</v>
      </c>
      <c r="N503" s="335">
        <f t="shared" si="57"/>
        <v>17.76797902018048</v>
      </c>
      <c r="O503" s="335">
        <f t="shared" si="56"/>
        <v>25.264094571869592</v>
      </c>
      <c r="P503" s="335">
        <f t="shared" si="58"/>
        <v>289.53335277777779</v>
      </c>
      <c r="Q503" s="335">
        <f t="shared" si="59"/>
        <v>123.47568230254377</v>
      </c>
      <c r="R503" s="595">
        <v>501</v>
      </c>
    </row>
    <row r="504" spans="1:18" ht="15" customHeight="1">
      <c r="A504" s="607">
        <v>502</v>
      </c>
      <c r="B504" s="799"/>
      <c r="C504" s="333">
        <v>23</v>
      </c>
      <c r="D504" s="365">
        <v>18</v>
      </c>
      <c r="E504" s="337">
        <v>21.45</v>
      </c>
      <c r="F504" s="336" t="s">
        <v>876</v>
      </c>
      <c r="G504" s="334">
        <v>12</v>
      </c>
      <c r="H504" s="335">
        <v>14.58</v>
      </c>
      <c r="I504" s="337">
        <v>109.64</v>
      </c>
      <c r="J504" s="335">
        <v>70.63</v>
      </c>
      <c r="K504" s="335">
        <v>49.18</v>
      </c>
      <c r="L504" s="356">
        <v>54.82</v>
      </c>
      <c r="M504" s="338" t="s">
        <v>275</v>
      </c>
      <c r="N504" s="335">
        <f t="shared" si="57"/>
        <v>18.579248053636135</v>
      </c>
      <c r="O504" s="335">
        <f t="shared" si="56"/>
        <v>26.520472811885746</v>
      </c>
      <c r="P504" s="335">
        <f t="shared" si="58"/>
        <v>295.7729347222222</v>
      </c>
      <c r="Q504" s="335">
        <f t="shared" si="59"/>
        <v>126.28023281777074</v>
      </c>
      <c r="R504" s="595">
        <v>502</v>
      </c>
    </row>
    <row r="505" spans="1:18" ht="15" customHeight="1">
      <c r="A505" s="607">
        <v>503</v>
      </c>
      <c r="B505" s="799"/>
      <c r="C505" s="333">
        <v>24</v>
      </c>
      <c r="D505" s="365">
        <v>18</v>
      </c>
      <c r="E505" s="337">
        <v>21.45</v>
      </c>
      <c r="F505" s="336" t="s">
        <v>877</v>
      </c>
      <c r="G505" s="365">
        <v>15</v>
      </c>
      <c r="H505" s="335">
        <v>17.73</v>
      </c>
      <c r="I505" s="337">
        <v>109.64</v>
      </c>
      <c r="J505" s="335">
        <v>69.900000000000006</v>
      </c>
      <c r="K505" s="337">
        <v>46.45</v>
      </c>
      <c r="L505" s="356">
        <v>54.82</v>
      </c>
      <c r="M505" s="338" t="s">
        <v>275</v>
      </c>
      <c r="N505" s="335">
        <f t="shared" si="57"/>
        <v>19.668865286887062</v>
      </c>
      <c r="O505" s="335">
        <f t="shared" si="56"/>
        <v>27.850316823860094</v>
      </c>
      <c r="P505" s="335">
        <f t="shared" si="58"/>
        <v>292.71595833333333</v>
      </c>
      <c r="Q505" s="335">
        <f t="shared" si="59"/>
        <v>125.61512189067636</v>
      </c>
      <c r="R505" s="595">
        <v>503</v>
      </c>
    </row>
    <row r="506" spans="1:18" ht="15" customHeight="1">
      <c r="A506" s="607">
        <v>504</v>
      </c>
      <c r="B506" s="799"/>
      <c r="C506" s="333">
        <v>25</v>
      </c>
      <c r="D506" s="365">
        <v>18</v>
      </c>
      <c r="E506" s="337">
        <v>21.45</v>
      </c>
      <c r="F506" s="336" t="s">
        <v>878</v>
      </c>
      <c r="G506" s="365">
        <v>18</v>
      </c>
      <c r="H506" s="335">
        <v>21.45</v>
      </c>
      <c r="I506" s="337">
        <v>109.64</v>
      </c>
      <c r="J506" s="335">
        <v>71.819999999999993</v>
      </c>
      <c r="K506" s="337">
        <v>50.37</v>
      </c>
      <c r="L506" s="356">
        <v>54.82</v>
      </c>
      <c r="M506" s="338" t="s">
        <v>275</v>
      </c>
      <c r="N506" s="335">
        <f t="shared" si="57"/>
        <v>21.796271655835557</v>
      </c>
      <c r="O506" s="335">
        <f t="shared" si="56"/>
        <v>30.952219381262594</v>
      </c>
      <c r="P506" s="335">
        <f t="shared" si="58"/>
        <v>300.75622499999997</v>
      </c>
      <c r="Q506" s="335">
        <f t="shared" si="59"/>
        <v>129.71787390333051</v>
      </c>
      <c r="R506" s="595">
        <v>504</v>
      </c>
    </row>
    <row r="507" spans="1:18" ht="15" customHeight="1">
      <c r="A507" s="607">
        <v>505</v>
      </c>
      <c r="B507" s="799"/>
      <c r="C507" s="333">
        <v>26</v>
      </c>
      <c r="D507" s="334">
        <v>24</v>
      </c>
      <c r="E507" s="335">
        <v>28.2</v>
      </c>
      <c r="F507" s="336" t="s">
        <v>879</v>
      </c>
      <c r="G507" s="334">
        <v>4</v>
      </c>
      <c r="H507" s="335">
        <v>4.75</v>
      </c>
      <c r="I507" s="337">
        <v>110.16</v>
      </c>
      <c r="J507" s="335">
        <v>75.959999999999994</v>
      </c>
      <c r="K507" s="335">
        <v>47.76</v>
      </c>
      <c r="L507" s="356">
        <v>55.08</v>
      </c>
      <c r="M507" s="338" t="s">
        <v>275</v>
      </c>
      <c r="N507" s="335">
        <f t="shared" si="57"/>
        <v>29.099874618501453</v>
      </c>
      <c r="O507" s="335">
        <f t="shared" si="56"/>
        <v>40.183694116585045</v>
      </c>
      <c r="P507" s="335">
        <f t="shared" si="58"/>
        <v>319.60169999999994</v>
      </c>
      <c r="Q507" s="335">
        <f t="shared" si="59"/>
        <v>140.86707697186742</v>
      </c>
      <c r="R507" s="595">
        <v>505</v>
      </c>
    </row>
    <row r="508" spans="1:18" ht="15" customHeight="1">
      <c r="A508" s="607">
        <v>506</v>
      </c>
      <c r="B508" s="799"/>
      <c r="C508" s="333">
        <v>27</v>
      </c>
      <c r="D508" s="365">
        <v>24</v>
      </c>
      <c r="E508" s="335">
        <v>28.2</v>
      </c>
      <c r="F508" s="336" t="s">
        <v>880</v>
      </c>
      <c r="G508" s="334">
        <v>6</v>
      </c>
      <c r="H508" s="335">
        <v>7.05</v>
      </c>
      <c r="I508" s="337">
        <v>110.16</v>
      </c>
      <c r="J508" s="335">
        <v>76.510000000000005</v>
      </c>
      <c r="K508" s="335">
        <v>48.31</v>
      </c>
      <c r="L508" s="356">
        <v>55.08</v>
      </c>
      <c r="M508" s="338" t="s">
        <v>275</v>
      </c>
      <c r="N508" s="335">
        <f t="shared" si="57"/>
        <v>29.433941545640991</v>
      </c>
      <c r="O508" s="335">
        <f t="shared" si="56"/>
        <v>40.637235546450604</v>
      </c>
      <c r="P508" s="335">
        <f t="shared" si="58"/>
        <v>321.91582499999998</v>
      </c>
      <c r="Q508" s="335">
        <f t="shared" si="59"/>
        <v>141.94537732706075</v>
      </c>
      <c r="R508" s="595">
        <v>506</v>
      </c>
    </row>
    <row r="509" spans="1:18" ht="15" customHeight="1">
      <c r="A509" s="607">
        <v>507</v>
      </c>
      <c r="B509" s="799"/>
      <c r="C509" s="333">
        <v>28</v>
      </c>
      <c r="D509" s="365">
        <v>24</v>
      </c>
      <c r="E509" s="335">
        <v>28.2</v>
      </c>
      <c r="F509" s="336" t="s">
        <v>881</v>
      </c>
      <c r="G509" s="334">
        <v>8</v>
      </c>
      <c r="H509" s="335">
        <v>9.4</v>
      </c>
      <c r="I509" s="337">
        <v>110.16</v>
      </c>
      <c r="J509" s="335">
        <v>76.78</v>
      </c>
      <c r="K509" s="335">
        <v>48.58</v>
      </c>
      <c r="L509" s="356">
        <v>55.08</v>
      </c>
      <c r="M509" s="338" t="s">
        <v>275</v>
      </c>
      <c r="N509" s="335">
        <f t="shared" si="57"/>
        <v>29.903889627253506</v>
      </c>
      <c r="O509" s="335">
        <f t="shared" si="56"/>
        <v>41.286057616626884</v>
      </c>
      <c r="P509" s="335">
        <f t="shared" si="58"/>
        <v>323.05184999999994</v>
      </c>
      <c r="Q509" s="335">
        <f t="shared" si="59"/>
        <v>142.61020658060275</v>
      </c>
      <c r="R509" s="595">
        <v>507</v>
      </c>
    </row>
    <row r="510" spans="1:18" ht="15" customHeight="1">
      <c r="A510" s="607">
        <v>508</v>
      </c>
      <c r="B510" s="799"/>
      <c r="C510" s="333">
        <v>29</v>
      </c>
      <c r="D510" s="365">
        <v>24</v>
      </c>
      <c r="E510" s="335">
        <v>28.2</v>
      </c>
      <c r="F510" s="336" t="s">
        <v>882</v>
      </c>
      <c r="G510" s="334">
        <v>10</v>
      </c>
      <c r="H510" s="335">
        <v>12</v>
      </c>
      <c r="I510" s="337">
        <v>110.16</v>
      </c>
      <c r="J510" s="335">
        <v>75.89</v>
      </c>
      <c r="K510" s="335">
        <v>47.69</v>
      </c>
      <c r="L510" s="356">
        <v>55.08</v>
      </c>
      <c r="M510" s="338" t="s">
        <v>275</v>
      </c>
      <c r="N510" s="335">
        <f t="shared" si="57"/>
        <v>30.461976836091736</v>
      </c>
      <c r="O510" s="335">
        <f t="shared" si="56"/>
        <v>42.152882298224817</v>
      </c>
      <c r="P510" s="335">
        <f t="shared" si="58"/>
        <v>319.30717499999997</v>
      </c>
      <c r="Q510" s="335">
        <f t="shared" si="59"/>
        <v>141.3236939168018</v>
      </c>
      <c r="R510" s="595">
        <v>508</v>
      </c>
    </row>
    <row r="511" spans="1:18" ht="15" customHeight="1">
      <c r="A511" s="607">
        <v>509</v>
      </c>
      <c r="B511" s="799"/>
      <c r="C511" s="333">
        <v>30</v>
      </c>
      <c r="D511" s="365">
        <v>24</v>
      </c>
      <c r="E511" s="335">
        <v>28.2</v>
      </c>
      <c r="F511" s="336" t="s">
        <v>883</v>
      </c>
      <c r="G511" s="334">
        <v>12</v>
      </c>
      <c r="H511" s="335">
        <v>14.58</v>
      </c>
      <c r="I511" s="337">
        <v>110.16</v>
      </c>
      <c r="J511" s="335">
        <v>77.38</v>
      </c>
      <c r="K511" s="335">
        <v>49.18</v>
      </c>
      <c r="L511" s="356">
        <v>55.08</v>
      </c>
      <c r="M511" s="338" t="s">
        <v>275</v>
      </c>
      <c r="N511" s="335">
        <f t="shared" si="57"/>
        <v>31.273245869547392</v>
      </c>
      <c r="O511" s="335">
        <f t="shared" si="56"/>
        <v>43.409260538240972</v>
      </c>
      <c r="P511" s="335">
        <f t="shared" si="58"/>
        <v>325.57634999999999</v>
      </c>
      <c r="Q511" s="335">
        <f t="shared" si="59"/>
        <v>144.14008165425099</v>
      </c>
      <c r="R511" s="595">
        <v>509</v>
      </c>
    </row>
    <row r="512" spans="1:18" ht="15" customHeight="1">
      <c r="A512" s="607">
        <v>510</v>
      </c>
      <c r="B512" s="799"/>
      <c r="C512" s="333">
        <v>31</v>
      </c>
      <c r="D512" s="365">
        <v>24</v>
      </c>
      <c r="E512" s="335">
        <v>28.2</v>
      </c>
      <c r="F512" s="336" t="s">
        <v>884</v>
      </c>
      <c r="G512" s="365">
        <v>15</v>
      </c>
      <c r="H512" s="335">
        <v>17.73</v>
      </c>
      <c r="I512" s="337">
        <v>110.16</v>
      </c>
      <c r="J512" s="335">
        <v>74.650000000000006</v>
      </c>
      <c r="K512" s="337">
        <v>46.45</v>
      </c>
      <c r="L512" s="356">
        <v>55.08</v>
      </c>
      <c r="M512" s="338" t="s">
        <v>275</v>
      </c>
      <c r="N512" s="335">
        <f t="shared" si="57"/>
        <v>32.362863102798322</v>
      </c>
      <c r="O512" s="335">
        <f t="shared" si="56"/>
        <v>44.739104550215323</v>
      </c>
      <c r="P512" s="335">
        <f t="shared" si="58"/>
        <v>314.08987500000001</v>
      </c>
      <c r="Q512" s="335">
        <f t="shared" si="59"/>
        <v>140.1031712827122</v>
      </c>
      <c r="R512" s="595">
        <v>510</v>
      </c>
    </row>
    <row r="513" spans="1:18" ht="15" customHeight="1">
      <c r="A513" s="607">
        <v>511</v>
      </c>
      <c r="B513" s="799"/>
      <c r="C513" s="333">
        <v>32</v>
      </c>
      <c r="D513" s="365">
        <v>24</v>
      </c>
      <c r="E513" s="335">
        <v>28.2</v>
      </c>
      <c r="F513" s="336" t="s">
        <v>885</v>
      </c>
      <c r="G513" s="365">
        <v>18</v>
      </c>
      <c r="H513" s="335">
        <v>21.45</v>
      </c>
      <c r="I513" s="337">
        <v>110.16</v>
      </c>
      <c r="J513" s="335">
        <v>78.569999999999993</v>
      </c>
      <c r="K513" s="337">
        <v>50.37</v>
      </c>
      <c r="L513" s="356">
        <v>55.08</v>
      </c>
      <c r="M513" s="338" t="s">
        <v>275</v>
      </c>
      <c r="N513" s="335">
        <f t="shared" si="57"/>
        <v>34.490269471746814</v>
      </c>
      <c r="O513" s="335">
        <f t="shared" si="56"/>
        <v>47.841007107617827</v>
      </c>
      <c r="P513" s="335">
        <f t="shared" si="58"/>
        <v>330.5832749999999</v>
      </c>
      <c r="Q513" s="335">
        <f t="shared" si="59"/>
        <v>147.58717662869964</v>
      </c>
      <c r="R513" s="595">
        <v>511</v>
      </c>
    </row>
    <row r="514" spans="1:18" ht="15" customHeight="1">
      <c r="A514" s="607">
        <v>512</v>
      </c>
      <c r="B514" s="799"/>
      <c r="C514" s="333">
        <v>33</v>
      </c>
      <c r="D514" s="365">
        <v>24</v>
      </c>
      <c r="E514" s="335">
        <v>28.2</v>
      </c>
      <c r="F514" s="336" t="s">
        <v>886</v>
      </c>
      <c r="G514" s="365">
        <v>24</v>
      </c>
      <c r="H514" s="335">
        <v>28.2</v>
      </c>
      <c r="I514" s="337">
        <v>110.16</v>
      </c>
      <c r="J514" s="335">
        <v>79.349999999999994</v>
      </c>
      <c r="K514" s="337">
        <v>51.15</v>
      </c>
      <c r="L514" s="356">
        <v>55.08</v>
      </c>
      <c r="M514" s="338" t="s">
        <v>275</v>
      </c>
      <c r="N514" s="335">
        <f t="shared" si="57"/>
        <v>39.089266592290997</v>
      </c>
      <c r="O514" s="335">
        <f t="shared" si="56"/>
        <v>53.967618688981766</v>
      </c>
      <c r="P514" s="335">
        <f t="shared" si="58"/>
        <v>333.86512499999992</v>
      </c>
      <c r="Q514" s="335">
        <f t="shared" si="59"/>
        <v>151.04826911669826</v>
      </c>
      <c r="R514" s="595">
        <v>512</v>
      </c>
    </row>
    <row r="515" spans="1:18" ht="15" customHeight="1">
      <c r="A515" s="607">
        <v>513</v>
      </c>
      <c r="B515" s="799"/>
      <c r="C515" s="333">
        <v>34</v>
      </c>
      <c r="D515" s="334">
        <v>30</v>
      </c>
      <c r="E515" s="335">
        <v>34.89</v>
      </c>
      <c r="F515" s="336" t="s">
        <v>887</v>
      </c>
      <c r="G515" s="334">
        <v>4</v>
      </c>
      <c r="H515" s="335">
        <v>4.75</v>
      </c>
      <c r="I515" s="337">
        <v>108</v>
      </c>
      <c r="J515" s="335">
        <v>82.65</v>
      </c>
      <c r="K515" s="335">
        <v>47.76</v>
      </c>
      <c r="L515" s="356">
        <v>54</v>
      </c>
      <c r="M515" s="338" t="s">
        <v>275</v>
      </c>
      <c r="N515" s="335">
        <f t="shared" si="57"/>
        <v>44.43870074965362</v>
      </c>
      <c r="O515" s="335">
        <f t="shared" si="56"/>
        <v>60.12138483234132</v>
      </c>
      <c r="P515" s="335">
        <f t="shared" si="58"/>
        <v>340.93125000000003</v>
      </c>
      <c r="Q515" s="335">
        <f t="shared" si="59"/>
        <v>156.76264681671711</v>
      </c>
      <c r="R515" s="595">
        <v>513</v>
      </c>
    </row>
    <row r="516" spans="1:18" ht="15" customHeight="1">
      <c r="A516" s="607">
        <v>514</v>
      </c>
      <c r="B516" s="799"/>
      <c r="C516" s="333">
        <v>35</v>
      </c>
      <c r="D516" s="365">
        <v>30</v>
      </c>
      <c r="E516" s="335">
        <v>34.89</v>
      </c>
      <c r="F516" s="336" t="s">
        <v>888</v>
      </c>
      <c r="G516" s="334">
        <v>6</v>
      </c>
      <c r="H516" s="335">
        <v>7.05</v>
      </c>
      <c r="I516" s="337">
        <v>108</v>
      </c>
      <c r="J516" s="335">
        <v>83.2</v>
      </c>
      <c r="K516" s="335">
        <v>48.31</v>
      </c>
      <c r="L516" s="356">
        <v>54</v>
      </c>
      <c r="M516" s="338" t="s">
        <v>275</v>
      </c>
      <c r="N516" s="335">
        <f t="shared" si="57"/>
        <v>44.772767676793158</v>
      </c>
      <c r="O516" s="335">
        <f t="shared" si="56"/>
        <v>60.57492626220688</v>
      </c>
      <c r="P516" s="335">
        <f t="shared" si="58"/>
        <v>343.2</v>
      </c>
      <c r="Q516" s="335">
        <f t="shared" si="59"/>
        <v>157.82279717191042</v>
      </c>
      <c r="R516" s="595">
        <v>514</v>
      </c>
    </row>
    <row r="517" spans="1:18" ht="15" customHeight="1">
      <c r="A517" s="607">
        <v>515</v>
      </c>
      <c r="B517" s="799"/>
      <c r="C517" s="333">
        <v>36</v>
      </c>
      <c r="D517" s="365">
        <v>30</v>
      </c>
      <c r="E517" s="335">
        <v>34.89</v>
      </c>
      <c r="F517" s="336" t="s">
        <v>889</v>
      </c>
      <c r="G517" s="334">
        <v>8</v>
      </c>
      <c r="H517" s="335">
        <v>9.4</v>
      </c>
      <c r="I517" s="337">
        <v>108</v>
      </c>
      <c r="J517" s="335">
        <v>83.47</v>
      </c>
      <c r="K517" s="335">
        <v>48.58</v>
      </c>
      <c r="L517" s="356">
        <v>54</v>
      </c>
      <c r="M517" s="338" t="s">
        <v>275</v>
      </c>
      <c r="N517" s="335">
        <f t="shared" si="57"/>
        <v>45.242715758405673</v>
      </c>
      <c r="O517" s="335">
        <f t="shared" si="56"/>
        <v>61.22374833238316</v>
      </c>
      <c r="P517" s="335">
        <f t="shared" si="58"/>
        <v>344.31375000000003</v>
      </c>
      <c r="Q517" s="335">
        <f t="shared" si="59"/>
        <v>158.47871642545243</v>
      </c>
      <c r="R517" s="595">
        <v>515</v>
      </c>
    </row>
    <row r="518" spans="1:18" ht="15" customHeight="1">
      <c r="A518" s="607">
        <v>516</v>
      </c>
      <c r="B518" s="799"/>
      <c r="C518" s="333">
        <v>37</v>
      </c>
      <c r="D518" s="365">
        <v>30</v>
      </c>
      <c r="E518" s="335">
        <v>34.89</v>
      </c>
      <c r="F518" s="336" t="s">
        <v>890</v>
      </c>
      <c r="G518" s="334">
        <v>10</v>
      </c>
      <c r="H518" s="335">
        <v>12</v>
      </c>
      <c r="I518" s="337">
        <v>108</v>
      </c>
      <c r="J518" s="335">
        <v>82.58</v>
      </c>
      <c r="K518" s="335">
        <v>47.69</v>
      </c>
      <c r="L518" s="356">
        <v>54</v>
      </c>
      <c r="M518" s="338" t="s">
        <v>275</v>
      </c>
      <c r="N518" s="335">
        <f t="shared" si="57"/>
        <v>45.800802967243904</v>
      </c>
      <c r="O518" s="335">
        <f t="shared" si="56"/>
        <v>62.090573013981093</v>
      </c>
      <c r="P518" s="335">
        <f t="shared" si="58"/>
        <v>340.64249999999998</v>
      </c>
      <c r="Q518" s="335">
        <f t="shared" si="59"/>
        <v>157.22157376165146</v>
      </c>
      <c r="R518" s="595">
        <v>516</v>
      </c>
    </row>
    <row r="519" spans="1:18" ht="15" customHeight="1">
      <c r="A519" s="607">
        <v>517</v>
      </c>
      <c r="B519" s="799"/>
      <c r="C519" s="333">
        <v>38</v>
      </c>
      <c r="D519" s="365">
        <v>30</v>
      </c>
      <c r="E519" s="335">
        <v>34.89</v>
      </c>
      <c r="F519" s="336" t="s">
        <v>891</v>
      </c>
      <c r="G519" s="334">
        <v>12</v>
      </c>
      <c r="H519" s="335">
        <v>14.58</v>
      </c>
      <c r="I519" s="337">
        <v>108</v>
      </c>
      <c r="J519" s="335">
        <v>84.07</v>
      </c>
      <c r="K519" s="335">
        <v>49.18</v>
      </c>
      <c r="L519" s="356">
        <v>54</v>
      </c>
      <c r="M519" s="338" t="s">
        <v>275</v>
      </c>
      <c r="N519" s="335">
        <f t="shared" si="57"/>
        <v>46.612072000699555</v>
      </c>
      <c r="O519" s="335">
        <f t="shared" si="56"/>
        <v>63.346951253997247</v>
      </c>
      <c r="P519" s="335">
        <f t="shared" si="58"/>
        <v>346.78874999999999</v>
      </c>
      <c r="Q519" s="335">
        <f t="shared" si="59"/>
        <v>159.98879149910067</v>
      </c>
      <c r="R519" s="595">
        <v>517</v>
      </c>
    </row>
    <row r="520" spans="1:18" ht="15" customHeight="1">
      <c r="A520" s="607">
        <v>518</v>
      </c>
      <c r="B520" s="799"/>
      <c r="C520" s="333">
        <v>39</v>
      </c>
      <c r="D520" s="365">
        <v>30</v>
      </c>
      <c r="E520" s="335">
        <v>34.89</v>
      </c>
      <c r="F520" s="336" t="s">
        <v>892</v>
      </c>
      <c r="G520" s="365">
        <v>15</v>
      </c>
      <c r="H520" s="335">
        <v>17.73</v>
      </c>
      <c r="I520" s="337">
        <v>108</v>
      </c>
      <c r="J520" s="335">
        <v>81.34</v>
      </c>
      <c r="K520" s="337">
        <v>46.45</v>
      </c>
      <c r="L520" s="356">
        <v>54</v>
      </c>
      <c r="M520" s="338" t="s">
        <v>275</v>
      </c>
      <c r="N520" s="335">
        <f t="shared" si="57"/>
        <v>47.701689233950489</v>
      </c>
      <c r="O520" s="335">
        <f t="shared" si="56"/>
        <v>64.676795265971592</v>
      </c>
      <c r="P520" s="335">
        <f t="shared" si="58"/>
        <v>335.52750000000003</v>
      </c>
      <c r="Q520" s="335">
        <f t="shared" si="59"/>
        <v>156.04197112756188</v>
      </c>
      <c r="R520" s="595">
        <v>518</v>
      </c>
    </row>
    <row r="521" spans="1:18" ht="15" customHeight="1">
      <c r="A521" s="607">
        <v>519</v>
      </c>
      <c r="B521" s="799"/>
      <c r="C521" s="333">
        <v>40</v>
      </c>
      <c r="D521" s="365">
        <v>30</v>
      </c>
      <c r="E521" s="335">
        <v>34.89</v>
      </c>
      <c r="F521" s="336" t="s">
        <v>893</v>
      </c>
      <c r="G521" s="365">
        <v>18</v>
      </c>
      <c r="H521" s="335">
        <v>21.45</v>
      </c>
      <c r="I521" s="337">
        <v>108</v>
      </c>
      <c r="J521" s="335">
        <v>85.26</v>
      </c>
      <c r="K521" s="337">
        <v>50.37</v>
      </c>
      <c r="L521" s="356">
        <v>54</v>
      </c>
      <c r="M521" s="338" t="s">
        <v>275</v>
      </c>
      <c r="N521" s="335">
        <f t="shared" si="57"/>
        <v>49.829095602898981</v>
      </c>
      <c r="O521" s="335">
        <f t="shared" si="56"/>
        <v>67.778697823374102</v>
      </c>
      <c r="P521" s="335">
        <f t="shared" si="58"/>
        <v>351.69749999999999</v>
      </c>
      <c r="Q521" s="335">
        <f t="shared" si="59"/>
        <v>163.39661647354933</v>
      </c>
      <c r="R521" s="595">
        <v>519</v>
      </c>
    </row>
    <row r="522" spans="1:18" ht="15" customHeight="1">
      <c r="A522" s="607">
        <v>520</v>
      </c>
      <c r="B522" s="799"/>
      <c r="C522" s="333">
        <v>41</v>
      </c>
      <c r="D522" s="365">
        <v>30</v>
      </c>
      <c r="E522" s="335">
        <v>34.89</v>
      </c>
      <c r="F522" s="336" t="s">
        <v>894</v>
      </c>
      <c r="G522" s="365">
        <v>24</v>
      </c>
      <c r="H522" s="335">
        <v>28.2</v>
      </c>
      <c r="I522" s="337">
        <v>108</v>
      </c>
      <c r="J522" s="335">
        <v>86.04</v>
      </c>
      <c r="K522" s="337">
        <v>51.15</v>
      </c>
      <c r="L522" s="356">
        <v>54</v>
      </c>
      <c r="M522" s="338" t="s">
        <v>275</v>
      </c>
      <c r="N522" s="335">
        <f t="shared" si="57"/>
        <v>54.428092723443164</v>
      </c>
      <c r="O522" s="335">
        <f t="shared" si="56"/>
        <v>73.905309404738034</v>
      </c>
      <c r="P522" s="335">
        <f t="shared" si="58"/>
        <v>354.91500000000002</v>
      </c>
      <c r="Q522" s="335">
        <f t="shared" si="59"/>
        <v>166.83196896154797</v>
      </c>
      <c r="R522" s="595">
        <v>520</v>
      </c>
    </row>
    <row r="523" spans="1:18" ht="15" customHeight="1">
      <c r="A523" s="607">
        <v>521</v>
      </c>
      <c r="B523" s="799"/>
      <c r="C523" s="333">
        <v>42</v>
      </c>
      <c r="D523" s="365">
        <v>30</v>
      </c>
      <c r="E523" s="335">
        <v>34.89</v>
      </c>
      <c r="F523" s="336" t="s">
        <v>895</v>
      </c>
      <c r="G523" s="365">
        <v>30</v>
      </c>
      <c r="H523" s="337">
        <v>34.89</v>
      </c>
      <c r="I523" s="337">
        <v>108</v>
      </c>
      <c r="J523" s="335">
        <v>82.89</v>
      </c>
      <c r="K523" s="337">
        <v>48</v>
      </c>
      <c r="L523" s="356">
        <v>54</v>
      </c>
      <c r="M523" s="338" t="s">
        <v>275</v>
      </c>
      <c r="N523" s="335">
        <f t="shared" si="57"/>
        <v>58.90486225480862</v>
      </c>
      <c r="O523" s="335">
        <f t="shared" si="56"/>
        <v>79.672890635124247</v>
      </c>
      <c r="P523" s="335">
        <f t="shared" si="58"/>
        <v>341.92125000000004</v>
      </c>
      <c r="Q523" s="335">
        <f t="shared" si="59"/>
        <v>163.80420600075894</v>
      </c>
      <c r="R523" s="595">
        <v>521</v>
      </c>
    </row>
    <row r="524" spans="1:18" ht="15" customHeight="1">
      <c r="A524" s="607">
        <v>522</v>
      </c>
      <c r="B524" s="799"/>
      <c r="C524" s="333">
        <v>43</v>
      </c>
      <c r="D524" s="334">
        <v>36</v>
      </c>
      <c r="E524" s="337">
        <v>40.9</v>
      </c>
      <c r="F524" s="336" t="s">
        <v>896</v>
      </c>
      <c r="G524" s="334">
        <v>4</v>
      </c>
      <c r="H524" s="335">
        <v>4.75</v>
      </c>
      <c r="I524" s="337">
        <v>108</v>
      </c>
      <c r="J524" s="335">
        <v>88.66</v>
      </c>
      <c r="K524" s="335">
        <v>47.76</v>
      </c>
      <c r="L524" s="356">
        <v>54</v>
      </c>
      <c r="M524" s="338" t="s">
        <v>275</v>
      </c>
      <c r="N524" s="335">
        <f t="shared" si="57"/>
        <v>63.877305293740463</v>
      </c>
      <c r="O524" s="335">
        <f t="shared" si="56"/>
        <v>82.480585713053472</v>
      </c>
      <c r="P524" s="335">
        <f t="shared" si="58"/>
        <v>365.72249999999997</v>
      </c>
      <c r="Q524" s="335">
        <f t="shared" si="59"/>
        <v>177.17407100851906</v>
      </c>
      <c r="R524" s="595">
        <v>522</v>
      </c>
    </row>
    <row r="525" spans="1:18" ht="15" customHeight="1">
      <c r="A525" s="607">
        <v>523</v>
      </c>
      <c r="B525" s="799"/>
      <c r="C525" s="333">
        <v>44</v>
      </c>
      <c r="D525" s="365">
        <v>36</v>
      </c>
      <c r="E525" s="337">
        <v>40.9</v>
      </c>
      <c r="F525" s="336" t="s">
        <v>897</v>
      </c>
      <c r="G525" s="334">
        <v>6</v>
      </c>
      <c r="H525" s="335">
        <v>7.05</v>
      </c>
      <c r="I525" s="337">
        <v>108</v>
      </c>
      <c r="J525" s="335">
        <v>89.21</v>
      </c>
      <c r="K525" s="335">
        <v>48.31</v>
      </c>
      <c r="L525" s="356">
        <v>54</v>
      </c>
      <c r="M525" s="338" t="s">
        <v>275</v>
      </c>
      <c r="N525" s="335">
        <f t="shared" si="57"/>
        <v>64.211372220880008</v>
      </c>
      <c r="O525" s="335">
        <f t="shared" si="56"/>
        <v>82.934127142919024</v>
      </c>
      <c r="P525" s="335">
        <f t="shared" si="58"/>
        <v>367.99124999999998</v>
      </c>
      <c r="Q525" s="335">
        <f t="shared" si="59"/>
        <v>178.23422136371241</v>
      </c>
      <c r="R525" s="595">
        <v>523</v>
      </c>
    </row>
    <row r="526" spans="1:18" ht="15" customHeight="1">
      <c r="A526" s="607">
        <v>524</v>
      </c>
      <c r="B526" s="799"/>
      <c r="C526" s="333">
        <v>45</v>
      </c>
      <c r="D526" s="365">
        <v>36</v>
      </c>
      <c r="E526" s="337">
        <v>40.9</v>
      </c>
      <c r="F526" s="336" t="s">
        <v>898</v>
      </c>
      <c r="G526" s="334">
        <v>8</v>
      </c>
      <c r="H526" s="335">
        <v>9.4</v>
      </c>
      <c r="I526" s="337">
        <v>108</v>
      </c>
      <c r="J526" s="335">
        <v>89.48</v>
      </c>
      <c r="K526" s="335">
        <v>48.58</v>
      </c>
      <c r="L526" s="356">
        <v>54</v>
      </c>
      <c r="M526" s="338" t="s">
        <v>275</v>
      </c>
      <c r="N526" s="335">
        <f t="shared" si="57"/>
        <v>64.681320302492523</v>
      </c>
      <c r="O526" s="335">
        <f t="shared" si="56"/>
        <v>83.582949213095304</v>
      </c>
      <c r="P526" s="335">
        <f t="shared" si="58"/>
        <v>369.10500000000002</v>
      </c>
      <c r="Q526" s="335">
        <f t="shared" si="59"/>
        <v>178.89014061725442</v>
      </c>
      <c r="R526" s="595">
        <v>524</v>
      </c>
    </row>
    <row r="527" spans="1:18" ht="15" customHeight="1">
      <c r="A527" s="607">
        <v>525</v>
      </c>
      <c r="B527" s="799"/>
      <c r="C527" s="333">
        <v>46</v>
      </c>
      <c r="D527" s="365">
        <v>36</v>
      </c>
      <c r="E527" s="337">
        <v>40.9</v>
      </c>
      <c r="F527" s="336" t="s">
        <v>899</v>
      </c>
      <c r="G527" s="334">
        <v>10</v>
      </c>
      <c r="H527" s="335">
        <v>12</v>
      </c>
      <c r="I527" s="337">
        <v>108</v>
      </c>
      <c r="J527" s="335">
        <v>88.59</v>
      </c>
      <c r="K527" s="335">
        <v>47.69</v>
      </c>
      <c r="L527" s="356">
        <v>54</v>
      </c>
      <c r="M527" s="338" t="s">
        <v>275</v>
      </c>
      <c r="N527" s="335">
        <f t="shared" si="57"/>
        <v>65.239407511330739</v>
      </c>
      <c r="O527" s="335">
        <f t="shared" si="56"/>
        <v>84.449773894693251</v>
      </c>
      <c r="P527" s="335">
        <f t="shared" si="58"/>
        <v>365.43375000000003</v>
      </c>
      <c r="Q527" s="335">
        <f t="shared" si="59"/>
        <v>177.63299795345347</v>
      </c>
      <c r="R527" s="595">
        <v>525</v>
      </c>
    </row>
    <row r="528" spans="1:18" ht="15" customHeight="1">
      <c r="A528" s="607">
        <v>526</v>
      </c>
      <c r="B528" s="799"/>
      <c r="C528" s="333">
        <v>47</v>
      </c>
      <c r="D528" s="365">
        <v>36</v>
      </c>
      <c r="E528" s="337">
        <v>40.9</v>
      </c>
      <c r="F528" s="336" t="s">
        <v>900</v>
      </c>
      <c r="G528" s="334">
        <v>12</v>
      </c>
      <c r="H528" s="335">
        <v>14.58</v>
      </c>
      <c r="I528" s="337">
        <v>108</v>
      </c>
      <c r="J528" s="335">
        <v>90.08</v>
      </c>
      <c r="K528" s="335">
        <v>49.18</v>
      </c>
      <c r="L528" s="356">
        <v>54</v>
      </c>
      <c r="M528" s="338" t="s">
        <v>275</v>
      </c>
      <c r="N528" s="335">
        <f t="shared" si="57"/>
        <v>66.050676544786398</v>
      </c>
      <c r="O528" s="335">
        <f t="shared" si="56"/>
        <v>85.706152134709399</v>
      </c>
      <c r="P528" s="335">
        <f t="shared" si="58"/>
        <v>371.58</v>
      </c>
      <c r="Q528" s="335">
        <f t="shared" si="59"/>
        <v>180.40021569090266</v>
      </c>
      <c r="R528" s="595">
        <v>526</v>
      </c>
    </row>
    <row r="529" spans="1:18" ht="15" customHeight="1">
      <c r="A529" s="607">
        <v>527</v>
      </c>
      <c r="B529" s="799"/>
      <c r="C529" s="333">
        <v>48</v>
      </c>
      <c r="D529" s="365">
        <v>36</v>
      </c>
      <c r="E529" s="337">
        <v>40.9</v>
      </c>
      <c r="F529" s="336" t="s">
        <v>901</v>
      </c>
      <c r="G529" s="365">
        <v>15</v>
      </c>
      <c r="H529" s="335">
        <v>17.73</v>
      </c>
      <c r="I529" s="337">
        <v>108</v>
      </c>
      <c r="J529" s="335">
        <v>87.35</v>
      </c>
      <c r="K529" s="337">
        <v>46.45</v>
      </c>
      <c r="L529" s="356">
        <v>54</v>
      </c>
      <c r="M529" s="338" t="s">
        <v>275</v>
      </c>
      <c r="N529" s="335">
        <f t="shared" si="57"/>
        <v>67.140293778037332</v>
      </c>
      <c r="O529" s="335">
        <f t="shared" si="56"/>
        <v>87.035996146683743</v>
      </c>
      <c r="P529" s="335">
        <f t="shared" si="58"/>
        <v>360.31874999999997</v>
      </c>
      <c r="Q529" s="335">
        <f t="shared" si="59"/>
        <v>176.45339531936384</v>
      </c>
      <c r="R529" s="595">
        <v>527</v>
      </c>
    </row>
    <row r="530" spans="1:18" ht="15" customHeight="1">
      <c r="A530" s="607">
        <v>528</v>
      </c>
      <c r="B530" s="799"/>
      <c r="C530" s="333">
        <v>49</v>
      </c>
      <c r="D530" s="365">
        <v>36</v>
      </c>
      <c r="E530" s="337">
        <v>40.9</v>
      </c>
      <c r="F530" s="336" t="s">
        <v>902</v>
      </c>
      <c r="G530" s="365">
        <v>18</v>
      </c>
      <c r="H530" s="335">
        <v>21.45</v>
      </c>
      <c r="I530" s="337">
        <v>108</v>
      </c>
      <c r="J530" s="335">
        <v>91.27</v>
      </c>
      <c r="K530" s="337">
        <v>50.37</v>
      </c>
      <c r="L530" s="356">
        <v>54</v>
      </c>
      <c r="M530" s="338" t="s">
        <v>275</v>
      </c>
      <c r="N530" s="335">
        <f t="shared" si="57"/>
        <v>69.267700146985831</v>
      </c>
      <c r="O530" s="335">
        <f t="shared" si="56"/>
        <v>90.137898704086254</v>
      </c>
      <c r="P530" s="335">
        <f t="shared" si="58"/>
        <v>376.48874999999998</v>
      </c>
      <c r="Q530" s="335">
        <f t="shared" si="59"/>
        <v>183.80804066535131</v>
      </c>
      <c r="R530" s="595">
        <v>528</v>
      </c>
    </row>
    <row r="531" spans="1:18" ht="15" customHeight="1">
      <c r="A531" s="607">
        <v>529</v>
      </c>
      <c r="B531" s="799"/>
      <c r="C531" s="333">
        <v>50</v>
      </c>
      <c r="D531" s="365">
        <v>36</v>
      </c>
      <c r="E531" s="337">
        <v>40.9</v>
      </c>
      <c r="F531" s="336" t="s">
        <v>903</v>
      </c>
      <c r="G531" s="365">
        <v>24</v>
      </c>
      <c r="H531" s="335">
        <v>28.2</v>
      </c>
      <c r="I531" s="337">
        <v>108</v>
      </c>
      <c r="J531" s="335">
        <v>92.05</v>
      </c>
      <c r="K531" s="337">
        <v>51.15</v>
      </c>
      <c r="L531" s="356">
        <v>54</v>
      </c>
      <c r="M531" s="338" t="s">
        <v>275</v>
      </c>
      <c r="N531" s="335">
        <f t="shared" si="57"/>
        <v>73.866697267530014</v>
      </c>
      <c r="O531" s="335">
        <f t="shared" si="56"/>
        <v>96.2645102854502</v>
      </c>
      <c r="P531" s="335">
        <f t="shared" si="58"/>
        <v>379.70625000000001</v>
      </c>
      <c r="Q531" s="335">
        <f t="shared" si="59"/>
        <v>187.24339315334996</v>
      </c>
      <c r="R531" s="595">
        <v>529</v>
      </c>
    </row>
    <row r="532" spans="1:18" ht="15" customHeight="1">
      <c r="A532" s="607">
        <v>530</v>
      </c>
      <c r="B532" s="799"/>
      <c r="C532" s="333">
        <v>51</v>
      </c>
      <c r="D532" s="365">
        <v>36</v>
      </c>
      <c r="E532" s="337">
        <v>40.9</v>
      </c>
      <c r="F532" s="336" t="s">
        <v>904</v>
      </c>
      <c r="G532" s="365">
        <v>30</v>
      </c>
      <c r="H532" s="337">
        <v>34.89</v>
      </c>
      <c r="I532" s="337">
        <v>108</v>
      </c>
      <c r="J532" s="335">
        <v>88.9</v>
      </c>
      <c r="K532" s="337">
        <v>48</v>
      </c>
      <c r="L532" s="356">
        <v>54</v>
      </c>
      <c r="M532" s="338" t="s">
        <v>275</v>
      </c>
      <c r="N532" s="335">
        <f t="shared" si="57"/>
        <v>78.343466798895463</v>
      </c>
      <c r="O532" s="335">
        <f t="shared" si="56"/>
        <v>102.0320915158364</v>
      </c>
      <c r="P532" s="335">
        <f t="shared" si="58"/>
        <v>366.71250000000003</v>
      </c>
      <c r="Q532" s="335">
        <f t="shared" si="59"/>
        <v>184.21563019256092</v>
      </c>
      <c r="R532" s="595">
        <v>530</v>
      </c>
    </row>
    <row r="533" spans="1:18" ht="15" customHeight="1">
      <c r="A533" s="607">
        <v>531</v>
      </c>
      <c r="B533" s="799"/>
      <c r="C533" s="333">
        <v>52</v>
      </c>
      <c r="D533" s="365">
        <v>36</v>
      </c>
      <c r="E533" s="337">
        <v>40.9</v>
      </c>
      <c r="F533" s="336" t="s">
        <v>1019</v>
      </c>
      <c r="G533" s="365">
        <v>36</v>
      </c>
      <c r="H533" s="337">
        <v>40.9</v>
      </c>
      <c r="I533" s="337">
        <v>108</v>
      </c>
      <c r="J533" s="335">
        <v>88.9</v>
      </c>
      <c r="K533" s="337">
        <v>48</v>
      </c>
      <c r="L533" s="356">
        <v>54</v>
      </c>
      <c r="M533" s="338" t="s">
        <v>275</v>
      </c>
      <c r="N533" s="335">
        <f t="shared" si="57"/>
        <v>84.823001646924411</v>
      </c>
      <c r="O533" s="335">
        <f t="shared" si="56"/>
        <v>109.48515847607378</v>
      </c>
      <c r="P533" s="335">
        <f t="shared" si="58"/>
        <v>366.71250000000003</v>
      </c>
      <c r="Q533" s="335">
        <f t="shared" si="59"/>
        <v>187.71393825649494</v>
      </c>
      <c r="R533" s="595">
        <v>531</v>
      </c>
    </row>
    <row r="534" spans="1:18" ht="15" customHeight="1">
      <c r="A534" s="607">
        <v>532</v>
      </c>
      <c r="B534" s="799"/>
      <c r="C534" s="333">
        <v>53</v>
      </c>
      <c r="D534" s="334">
        <v>42</v>
      </c>
      <c r="E534" s="337">
        <v>47.53</v>
      </c>
      <c r="F534" s="336" t="s">
        <v>905</v>
      </c>
      <c r="G534" s="334">
        <v>4</v>
      </c>
      <c r="H534" s="335">
        <v>4.75</v>
      </c>
      <c r="I534" s="337">
        <v>112</v>
      </c>
      <c r="J534" s="335">
        <v>95.29</v>
      </c>
      <c r="K534" s="335">
        <v>47.76</v>
      </c>
      <c r="L534" s="356">
        <v>56</v>
      </c>
      <c r="M534" s="338" t="s">
        <v>275</v>
      </c>
      <c r="N534" s="335">
        <f t="shared" si="57"/>
        <v>90.057244073655397</v>
      </c>
      <c r="O534" s="335">
        <f t="shared" si="56"/>
        <v>115.36723430531903</v>
      </c>
      <c r="P534" s="335">
        <f t="shared" si="58"/>
        <v>407.62944444444446</v>
      </c>
      <c r="Q534" s="335">
        <f t="shared" si="59"/>
        <v>206.9621281293056</v>
      </c>
      <c r="R534" s="595">
        <v>532</v>
      </c>
    </row>
    <row r="535" spans="1:18" ht="15" customHeight="1">
      <c r="A535" s="607">
        <v>533</v>
      </c>
      <c r="B535" s="799"/>
      <c r="C535" s="333">
        <v>54</v>
      </c>
      <c r="D535" s="365">
        <v>42</v>
      </c>
      <c r="E535" s="337">
        <v>47.53</v>
      </c>
      <c r="F535" s="336" t="s">
        <v>906</v>
      </c>
      <c r="G535" s="334">
        <v>6</v>
      </c>
      <c r="H535" s="335">
        <v>7.05</v>
      </c>
      <c r="I535" s="337">
        <v>112</v>
      </c>
      <c r="J535" s="335">
        <v>95.48</v>
      </c>
      <c r="K535" s="335">
        <v>48.31</v>
      </c>
      <c r="L535" s="356">
        <v>56</v>
      </c>
      <c r="M535" s="338" t="s">
        <v>275</v>
      </c>
      <c r="N535" s="335">
        <f t="shared" si="57"/>
        <v>90.391311000794943</v>
      </c>
      <c r="O535" s="335">
        <f t="shared" si="56"/>
        <v>115.82077573518458</v>
      </c>
      <c r="P535" s="335">
        <f t="shared" si="58"/>
        <v>408.44222222222226</v>
      </c>
      <c r="Q535" s="335">
        <f t="shared" si="59"/>
        <v>207.43988959561003</v>
      </c>
      <c r="R535" s="595">
        <v>533</v>
      </c>
    </row>
    <row r="536" spans="1:18" ht="15" customHeight="1">
      <c r="A536" s="607">
        <v>534</v>
      </c>
      <c r="B536" s="799"/>
      <c r="C536" s="333">
        <v>55</v>
      </c>
      <c r="D536" s="365">
        <v>42</v>
      </c>
      <c r="E536" s="337">
        <v>47.53</v>
      </c>
      <c r="F536" s="336" t="s">
        <v>907</v>
      </c>
      <c r="G536" s="334">
        <v>8</v>
      </c>
      <c r="H536" s="335">
        <v>9.4</v>
      </c>
      <c r="I536" s="337">
        <v>112</v>
      </c>
      <c r="J536" s="335">
        <v>96.11</v>
      </c>
      <c r="K536" s="335">
        <v>48.58</v>
      </c>
      <c r="L536" s="356">
        <v>56</v>
      </c>
      <c r="M536" s="338" t="s">
        <v>275</v>
      </c>
      <c r="N536" s="335">
        <f t="shared" si="57"/>
        <v>90.861259082407457</v>
      </c>
      <c r="O536" s="335">
        <f t="shared" si="56"/>
        <v>116.46959780536086</v>
      </c>
      <c r="P536" s="335">
        <f t="shared" si="58"/>
        <v>411.13722222222219</v>
      </c>
      <c r="Q536" s="335">
        <f t="shared" si="59"/>
        <v>208.72830884915197</v>
      </c>
      <c r="R536" s="595">
        <v>534</v>
      </c>
    </row>
    <row r="537" spans="1:18" ht="15" customHeight="1">
      <c r="A537" s="607">
        <v>535</v>
      </c>
      <c r="B537" s="799"/>
      <c r="C537" s="333">
        <v>56</v>
      </c>
      <c r="D537" s="365">
        <v>42</v>
      </c>
      <c r="E537" s="337">
        <v>47.53</v>
      </c>
      <c r="F537" s="336" t="s">
        <v>908</v>
      </c>
      <c r="G537" s="334">
        <v>10</v>
      </c>
      <c r="H537" s="335">
        <v>12</v>
      </c>
      <c r="I537" s="337">
        <v>112</v>
      </c>
      <c r="J537" s="335">
        <v>95.22</v>
      </c>
      <c r="K537" s="335">
        <v>47.69</v>
      </c>
      <c r="L537" s="356">
        <v>56</v>
      </c>
      <c r="M537" s="338" t="s">
        <v>275</v>
      </c>
      <c r="N537" s="335">
        <f t="shared" si="57"/>
        <v>91.419346291245674</v>
      </c>
      <c r="O537" s="335">
        <f t="shared" si="56"/>
        <v>117.33642248695881</v>
      </c>
      <c r="P537" s="335">
        <f t="shared" si="58"/>
        <v>407.33</v>
      </c>
      <c r="Q537" s="335">
        <f t="shared" si="59"/>
        <v>207.41677729646216</v>
      </c>
      <c r="R537" s="595">
        <v>535</v>
      </c>
    </row>
    <row r="538" spans="1:18" ht="15" customHeight="1">
      <c r="A538" s="607">
        <v>536</v>
      </c>
      <c r="B538" s="799"/>
      <c r="C538" s="333">
        <v>57</v>
      </c>
      <c r="D538" s="365">
        <v>42</v>
      </c>
      <c r="E538" s="337">
        <v>47.53</v>
      </c>
      <c r="F538" s="336" t="s">
        <v>909</v>
      </c>
      <c r="G538" s="334">
        <v>12</v>
      </c>
      <c r="H538" s="335">
        <v>14.58</v>
      </c>
      <c r="I538" s="337">
        <v>112</v>
      </c>
      <c r="J538" s="335">
        <v>96.71</v>
      </c>
      <c r="K538" s="335">
        <v>49.18</v>
      </c>
      <c r="L538" s="356">
        <v>56</v>
      </c>
      <c r="M538" s="338" t="s">
        <v>275</v>
      </c>
      <c r="N538" s="335">
        <f t="shared" si="57"/>
        <v>92.230615324701333</v>
      </c>
      <c r="O538" s="335">
        <f t="shared" si="56"/>
        <v>118.59280072697496</v>
      </c>
      <c r="P538" s="335">
        <f t="shared" si="58"/>
        <v>413.70388888888886</v>
      </c>
      <c r="Q538" s="335">
        <f t="shared" si="59"/>
        <v>210.2750505894669</v>
      </c>
      <c r="R538" s="595">
        <v>536</v>
      </c>
    </row>
    <row r="539" spans="1:18" ht="15" customHeight="1">
      <c r="A539" s="607">
        <v>537</v>
      </c>
      <c r="B539" s="799"/>
      <c r="C539" s="333">
        <v>58</v>
      </c>
      <c r="D539" s="365">
        <v>42</v>
      </c>
      <c r="E539" s="337">
        <v>47.53</v>
      </c>
      <c r="F539" s="336" t="s">
        <v>910</v>
      </c>
      <c r="G539" s="365">
        <v>15</v>
      </c>
      <c r="H539" s="335">
        <v>17.73</v>
      </c>
      <c r="I539" s="337">
        <v>112</v>
      </c>
      <c r="J539" s="335">
        <v>93.98</v>
      </c>
      <c r="K539" s="337">
        <v>46.45</v>
      </c>
      <c r="L539" s="356">
        <v>56</v>
      </c>
      <c r="M539" s="338" t="s">
        <v>275</v>
      </c>
      <c r="N539" s="335">
        <f t="shared" si="57"/>
        <v>93.320232557952266</v>
      </c>
      <c r="O539" s="335">
        <f t="shared" si="56"/>
        <v>119.9226447389493</v>
      </c>
      <c r="P539" s="335">
        <f t="shared" si="58"/>
        <v>402.02555555555557</v>
      </c>
      <c r="Q539" s="335">
        <f t="shared" si="59"/>
        <v>206.16139688459478</v>
      </c>
      <c r="R539" s="595">
        <v>537</v>
      </c>
    </row>
    <row r="540" spans="1:18" ht="15" customHeight="1">
      <c r="A540" s="607">
        <v>538</v>
      </c>
      <c r="B540" s="799"/>
      <c r="C540" s="333">
        <v>59</v>
      </c>
      <c r="D540" s="365">
        <v>42</v>
      </c>
      <c r="E540" s="337">
        <v>47.53</v>
      </c>
      <c r="F540" s="336" t="s">
        <v>911</v>
      </c>
      <c r="G540" s="365">
        <v>18</v>
      </c>
      <c r="H540" s="335">
        <v>21.45</v>
      </c>
      <c r="I540" s="337">
        <v>112</v>
      </c>
      <c r="J540" s="335">
        <v>97.9</v>
      </c>
      <c r="K540" s="337">
        <v>50.37</v>
      </c>
      <c r="L540" s="356">
        <v>56</v>
      </c>
      <c r="M540" s="338" t="s">
        <v>275</v>
      </c>
      <c r="N540" s="335">
        <f t="shared" si="57"/>
        <v>95.447638926900765</v>
      </c>
      <c r="O540" s="335">
        <f t="shared" si="56"/>
        <v>123.02454729635181</v>
      </c>
      <c r="P540" s="335">
        <f t="shared" si="58"/>
        <v>418.79444444444448</v>
      </c>
      <c r="Q540" s="335">
        <f t="shared" si="59"/>
        <v>213.75559778613786</v>
      </c>
      <c r="R540" s="595">
        <v>538</v>
      </c>
    </row>
    <row r="541" spans="1:18" ht="15" customHeight="1">
      <c r="A541" s="607">
        <v>539</v>
      </c>
      <c r="B541" s="799"/>
      <c r="C541" s="333">
        <v>60</v>
      </c>
      <c r="D541" s="365">
        <v>42</v>
      </c>
      <c r="E541" s="337">
        <v>47.53</v>
      </c>
      <c r="F541" s="336" t="s">
        <v>912</v>
      </c>
      <c r="G541" s="365">
        <v>24</v>
      </c>
      <c r="H541" s="335">
        <v>28.2</v>
      </c>
      <c r="I541" s="337">
        <v>112</v>
      </c>
      <c r="J541" s="335">
        <v>98.68</v>
      </c>
      <c r="K541" s="337">
        <v>51.15</v>
      </c>
      <c r="L541" s="356">
        <v>56</v>
      </c>
      <c r="M541" s="338" t="s">
        <v>275</v>
      </c>
      <c r="N541" s="335">
        <f t="shared" si="57"/>
        <v>100.04663604744493</v>
      </c>
      <c r="O541" s="335">
        <f t="shared" si="56"/>
        <v>129.15115887771574</v>
      </c>
      <c r="P541" s="335">
        <f t="shared" si="58"/>
        <v>422.13111111111112</v>
      </c>
      <c r="Q541" s="335">
        <f t="shared" si="59"/>
        <v>217.23861694080307</v>
      </c>
      <c r="R541" s="595">
        <v>539</v>
      </c>
    </row>
    <row r="542" spans="1:18" ht="15" customHeight="1">
      <c r="A542" s="607">
        <v>540</v>
      </c>
      <c r="B542" s="799"/>
      <c r="C542" s="333">
        <v>61</v>
      </c>
      <c r="D542" s="365">
        <v>42</v>
      </c>
      <c r="E542" s="337">
        <v>47.53</v>
      </c>
      <c r="F542" s="336" t="s">
        <v>913</v>
      </c>
      <c r="G542" s="365">
        <v>30</v>
      </c>
      <c r="H542" s="337">
        <v>34.89</v>
      </c>
      <c r="I542" s="337">
        <v>112</v>
      </c>
      <c r="J542" s="335">
        <v>95.53</v>
      </c>
      <c r="K542" s="337">
        <v>48</v>
      </c>
      <c r="L542" s="356">
        <v>56</v>
      </c>
      <c r="M542" s="338" t="s">
        <v>275</v>
      </c>
      <c r="N542" s="335">
        <f>PI()*D542^2/4*I542/1728+PI()*G542^2/4*(K542-12)/1728</f>
        <v>104.5234055788104</v>
      </c>
      <c r="O542" s="335">
        <f t="shared" si="56"/>
        <v>134.91874010810196</v>
      </c>
      <c r="P542" s="335">
        <f t="shared" si="58"/>
        <v>408.6561111111111</v>
      </c>
      <c r="Q542" s="335">
        <f t="shared" si="59"/>
        <v>214.01835398001407</v>
      </c>
      <c r="R542" s="595">
        <v>540</v>
      </c>
    </row>
    <row r="543" spans="1:18" ht="15" customHeight="1">
      <c r="A543" s="607">
        <v>541</v>
      </c>
      <c r="B543" s="799"/>
      <c r="C543" s="333">
        <v>62</v>
      </c>
      <c r="D543" s="365">
        <v>42</v>
      </c>
      <c r="E543" s="337">
        <v>47.53</v>
      </c>
      <c r="F543" s="336" t="s">
        <v>1020</v>
      </c>
      <c r="G543" s="365">
        <v>36</v>
      </c>
      <c r="H543" s="337">
        <v>40.9</v>
      </c>
      <c r="I543" s="337">
        <v>112</v>
      </c>
      <c r="J543" s="335">
        <v>95.53</v>
      </c>
      <c r="K543" s="337">
        <v>48</v>
      </c>
      <c r="L543" s="356">
        <v>56</v>
      </c>
      <c r="M543" s="338" t="s">
        <v>275</v>
      </c>
      <c r="N543" s="335">
        <f t="shared" ref="N543:N544" si="60">PI()*D543^2/4*I543/1728+PI()*G543^2/4*(K543-12)/1728</f>
        <v>111.00294042683934</v>
      </c>
      <c r="O543" s="335">
        <f t="shared" ref="O543:O544" si="61">PI()*E543^2/4*I543/1728+PI()*H543^2/4*(K543-12)/1728</f>
        <v>142.37180706833934</v>
      </c>
      <c r="P543" s="335">
        <f t="shared" ref="P543:P544" si="62">66*I543*J543/1728</f>
        <v>408.6561111111111</v>
      </c>
      <c r="Q543" s="335">
        <f t="shared" ref="Q543:Q544" si="63">0.4*(P543-O543)+N543</f>
        <v>217.51666204394803</v>
      </c>
      <c r="R543" s="595">
        <v>541</v>
      </c>
    </row>
    <row r="544" spans="1:18" ht="15" customHeight="1">
      <c r="A544" s="607">
        <v>542</v>
      </c>
      <c r="B544" s="799"/>
      <c r="C544" s="333">
        <v>63</v>
      </c>
      <c r="D544" s="365">
        <v>42</v>
      </c>
      <c r="E544" s="337">
        <v>47.53</v>
      </c>
      <c r="F544" s="336" t="s">
        <v>1021</v>
      </c>
      <c r="G544" s="365">
        <v>42</v>
      </c>
      <c r="H544" s="337">
        <v>47.53</v>
      </c>
      <c r="I544" s="337">
        <v>112</v>
      </c>
      <c r="J544" s="335">
        <v>95.53</v>
      </c>
      <c r="K544" s="337">
        <v>48</v>
      </c>
      <c r="L544" s="356">
        <v>56</v>
      </c>
      <c r="M544" s="338" t="s">
        <v>275</v>
      </c>
      <c r="N544" s="335">
        <f t="shared" si="60"/>
        <v>118.66057251996446</v>
      </c>
      <c r="O544" s="335">
        <f t="shared" si="61"/>
        <v>151.96496948660263</v>
      </c>
      <c r="P544" s="335">
        <f t="shared" si="62"/>
        <v>408.6561111111111</v>
      </c>
      <c r="Q544" s="335">
        <f t="shared" si="63"/>
        <v>221.33702916976785</v>
      </c>
      <c r="R544" s="595">
        <v>542</v>
      </c>
    </row>
    <row r="545" spans="1:18" ht="15" customHeight="1">
      <c r="A545" s="607">
        <v>543</v>
      </c>
      <c r="B545" s="799"/>
      <c r="C545" s="333">
        <v>64</v>
      </c>
      <c r="D545" s="334">
        <v>48</v>
      </c>
      <c r="E545" s="337">
        <v>54.48</v>
      </c>
      <c r="F545" s="336" t="s">
        <v>914</v>
      </c>
      <c r="G545" s="334">
        <v>4</v>
      </c>
      <c r="H545" s="335">
        <v>4.75</v>
      </c>
      <c r="I545" s="337">
        <v>112</v>
      </c>
      <c r="J545" s="335">
        <v>102.24</v>
      </c>
      <c r="K545" s="335">
        <v>47.76</v>
      </c>
      <c r="L545" s="356">
        <v>56</v>
      </c>
      <c r="M545" s="338" t="s">
        <v>275</v>
      </c>
      <c r="N545" s="335">
        <f t="shared" si="57"/>
        <v>117.54617979256611</v>
      </c>
      <c r="O545" s="335">
        <f t="shared" si="56"/>
        <v>151.45763617970465</v>
      </c>
      <c r="P545" s="335">
        <f t="shared" si="58"/>
        <v>437.35999999999996</v>
      </c>
      <c r="Q545" s="335">
        <f t="shared" si="59"/>
        <v>231.90712532068423</v>
      </c>
      <c r="R545" s="595">
        <v>543</v>
      </c>
    </row>
    <row r="546" spans="1:18" ht="15" customHeight="1">
      <c r="A546" s="607">
        <v>544</v>
      </c>
      <c r="B546" s="799"/>
      <c r="C546" s="333">
        <v>65</v>
      </c>
      <c r="D546" s="365">
        <v>48</v>
      </c>
      <c r="E546" s="337">
        <v>54.48</v>
      </c>
      <c r="F546" s="336" t="s">
        <v>915</v>
      </c>
      <c r="G546" s="334">
        <v>6</v>
      </c>
      <c r="H546" s="335">
        <v>7.05</v>
      </c>
      <c r="I546" s="337">
        <v>112</v>
      </c>
      <c r="J546" s="335">
        <v>102.79</v>
      </c>
      <c r="K546" s="335">
        <v>48.31</v>
      </c>
      <c r="L546" s="356">
        <v>56</v>
      </c>
      <c r="M546" s="338" t="s">
        <v>275</v>
      </c>
      <c r="N546" s="335">
        <f t="shared" si="57"/>
        <v>117.88024671970565</v>
      </c>
      <c r="O546" s="335">
        <f t="shared" si="56"/>
        <v>151.91117760957022</v>
      </c>
      <c r="P546" s="335">
        <f t="shared" si="58"/>
        <v>439.71277777777783</v>
      </c>
      <c r="Q546" s="335">
        <f t="shared" si="59"/>
        <v>233.0008867869887</v>
      </c>
      <c r="R546" s="595">
        <v>544</v>
      </c>
    </row>
    <row r="547" spans="1:18" ht="15" customHeight="1">
      <c r="A547" s="607">
        <v>545</v>
      </c>
      <c r="B547" s="799"/>
      <c r="C547" s="333">
        <v>66</v>
      </c>
      <c r="D547" s="365">
        <v>48</v>
      </c>
      <c r="E547" s="337">
        <v>54.48</v>
      </c>
      <c r="F547" s="336" t="s">
        <v>916</v>
      </c>
      <c r="G547" s="334">
        <v>8</v>
      </c>
      <c r="H547" s="335">
        <v>9.4</v>
      </c>
      <c r="I547" s="337">
        <v>112</v>
      </c>
      <c r="J547" s="335">
        <v>103.06</v>
      </c>
      <c r="K547" s="335">
        <v>48.58</v>
      </c>
      <c r="L547" s="356">
        <v>56</v>
      </c>
      <c r="M547" s="338" t="s">
        <v>275</v>
      </c>
      <c r="N547" s="335">
        <f t="shared" si="57"/>
        <v>118.35019480131817</v>
      </c>
      <c r="O547" s="335">
        <f t="shared" si="56"/>
        <v>152.55999967974648</v>
      </c>
      <c r="P547" s="335">
        <f t="shared" si="58"/>
        <v>440.8677777777778</v>
      </c>
      <c r="Q547" s="335">
        <f t="shared" si="59"/>
        <v>233.67330604053072</v>
      </c>
      <c r="R547" s="595">
        <v>545</v>
      </c>
    </row>
    <row r="548" spans="1:18" ht="15" customHeight="1">
      <c r="A548" s="607">
        <v>546</v>
      </c>
      <c r="B548" s="799"/>
      <c r="C548" s="333">
        <v>67</v>
      </c>
      <c r="D548" s="365">
        <v>48</v>
      </c>
      <c r="E548" s="337">
        <v>54.48</v>
      </c>
      <c r="F548" s="336" t="s">
        <v>917</v>
      </c>
      <c r="G548" s="334">
        <v>10</v>
      </c>
      <c r="H548" s="335">
        <v>12</v>
      </c>
      <c r="I548" s="337">
        <v>112</v>
      </c>
      <c r="J548" s="335">
        <v>102.17</v>
      </c>
      <c r="K548" s="335">
        <v>47.69</v>
      </c>
      <c r="L548" s="356">
        <v>56</v>
      </c>
      <c r="M548" s="338" t="s">
        <v>275</v>
      </c>
      <c r="N548" s="335">
        <f t="shared" si="57"/>
        <v>118.90828201015638</v>
      </c>
      <c r="O548" s="335">
        <f t="shared" si="56"/>
        <v>153.42682436134442</v>
      </c>
      <c r="P548" s="335">
        <f t="shared" si="58"/>
        <v>437.06055555555554</v>
      </c>
      <c r="Q548" s="335">
        <f t="shared" si="59"/>
        <v>232.36177448784082</v>
      </c>
      <c r="R548" s="595">
        <v>546</v>
      </c>
    </row>
    <row r="549" spans="1:18" ht="15" customHeight="1">
      <c r="A549" s="607">
        <v>547</v>
      </c>
      <c r="B549" s="799"/>
      <c r="C549" s="333">
        <v>68</v>
      </c>
      <c r="D549" s="365">
        <v>48</v>
      </c>
      <c r="E549" s="337">
        <v>54.48</v>
      </c>
      <c r="F549" s="336" t="s">
        <v>918</v>
      </c>
      <c r="G549" s="334">
        <v>12</v>
      </c>
      <c r="H549" s="335">
        <v>14.58</v>
      </c>
      <c r="I549" s="337">
        <v>112</v>
      </c>
      <c r="J549" s="335">
        <v>103.66</v>
      </c>
      <c r="K549" s="335">
        <v>49.18</v>
      </c>
      <c r="L549" s="356">
        <v>56</v>
      </c>
      <c r="M549" s="338" t="s">
        <v>275</v>
      </c>
      <c r="N549" s="335">
        <f t="shared" si="57"/>
        <v>119.71955104361204</v>
      </c>
      <c r="O549" s="335">
        <f t="shared" ref="O549:O566" si="64">PI()*E549^2/4*I549/1728+PI()*H549^2/4*(K549-12)/1728</f>
        <v>154.68320260136059</v>
      </c>
      <c r="P549" s="335">
        <f t="shared" si="58"/>
        <v>443.43444444444441</v>
      </c>
      <c r="Q549" s="335">
        <f t="shared" si="59"/>
        <v>235.22004778084556</v>
      </c>
      <c r="R549" s="595">
        <v>547</v>
      </c>
    </row>
    <row r="550" spans="1:18" ht="15" customHeight="1">
      <c r="A550" s="607">
        <v>548</v>
      </c>
      <c r="B550" s="799"/>
      <c r="C550" s="333">
        <v>69</v>
      </c>
      <c r="D550" s="365">
        <v>48</v>
      </c>
      <c r="E550" s="337">
        <v>54.48</v>
      </c>
      <c r="F550" s="336" t="s">
        <v>919</v>
      </c>
      <c r="G550" s="365">
        <v>15</v>
      </c>
      <c r="H550" s="335">
        <v>17.73</v>
      </c>
      <c r="I550" s="337">
        <v>112</v>
      </c>
      <c r="J550" s="335">
        <v>100.93</v>
      </c>
      <c r="K550" s="337">
        <v>46.45</v>
      </c>
      <c r="L550" s="356">
        <v>56</v>
      </c>
      <c r="M550" s="338" t="s">
        <v>275</v>
      </c>
      <c r="N550" s="335">
        <f t="shared" ref="N550:N566" si="65">PI()*D550^2/4*I550/1728+PI()*G550^2/4*(K550-12)/1728</f>
        <v>120.80916827686298</v>
      </c>
      <c r="O550" s="335">
        <f t="shared" si="64"/>
        <v>156.01304661333492</v>
      </c>
      <c r="P550" s="335">
        <f t="shared" ref="P550:P566" si="66">66*I550*J550/1728</f>
        <v>431.75611111111112</v>
      </c>
      <c r="Q550" s="335">
        <f t="shared" ref="Q550:Q566" si="67">0.4*(P550-O550)+N550</f>
        <v>231.10639407597347</v>
      </c>
      <c r="R550" s="595">
        <v>548</v>
      </c>
    </row>
    <row r="551" spans="1:18" ht="15" customHeight="1">
      <c r="A551" s="607">
        <v>549</v>
      </c>
      <c r="B551" s="799"/>
      <c r="C551" s="333">
        <v>70</v>
      </c>
      <c r="D551" s="365">
        <v>48</v>
      </c>
      <c r="E551" s="337">
        <v>54.48</v>
      </c>
      <c r="F551" s="336" t="s">
        <v>920</v>
      </c>
      <c r="G551" s="365">
        <v>18</v>
      </c>
      <c r="H551" s="335">
        <v>21.45</v>
      </c>
      <c r="I551" s="337">
        <v>112</v>
      </c>
      <c r="J551" s="335">
        <v>104.85</v>
      </c>
      <c r="K551" s="337">
        <v>50.37</v>
      </c>
      <c r="L551" s="356">
        <v>56</v>
      </c>
      <c r="M551" s="338" t="s">
        <v>275</v>
      </c>
      <c r="N551" s="335">
        <f t="shared" si="65"/>
        <v>122.93657464581148</v>
      </c>
      <c r="O551" s="335">
        <f t="shared" si="64"/>
        <v>159.11494917073742</v>
      </c>
      <c r="P551" s="335">
        <f t="shared" si="66"/>
        <v>448.52499999999998</v>
      </c>
      <c r="Q551" s="335">
        <f t="shared" si="67"/>
        <v>238.70059497751652</v>
      </c>
      <c r="R551" s="595">
        <v>549</v>
      </c>
    </row>
    <row r="552" spans="1:18" ht="15" customHeight="1">
      <c r="A552" s="607">
        <v>550</v>
      </c>
      <c r="B552" s="799"/>
      <c r="C552" s="333">
        <v>71</v>
      </c>
      <c r="D552" s="365">
        <v>48</v>
      </c>
      <c r="E552" s="337">
        <v>54.48</v>
      </c>
      <c r="F552" s="336" t="s">
        <v>921</v>
      </c>
      <c r="G552" s="365">
        <v>24</v>
      </c>
      <c r="H552" s="335">
        <v>28.2</v>
      </c>
      <c r="I552" s="337">
        <v>112</v>
      </c>
      <c r="J552" s="335">
        <v>105.63</v>
      </c>
      <c r="K552" s="337">
        <v>51.15</v>
      </c>
      <c r="L552" s="356">
        <v>56</v>
      </c>
      <c r="M552" s="338" t="s">
        <v>275</v>
      </c>
      <c r="N552" s="335">
        <f t="shared" si="65"/>
        <v>127.53557176635564</v>
      </c>
      <c r="O552" s="335">
        <f t="shared" si="64"/>
        <v>165.24156075210138</v>
      </c>
      <c r="P552" s="335">
        <f t="shared" si="66"/>
        <v>451.86166666666662</v>
      </c>
      <c r="Q552" s="335">
        <f t="shared" si="67"/>
        <v>242.18361413218173</v>
      </c>
      <c r="R552" s="595">
        <v>550</v>
      </c>
    </row>
    <row r="553" spans="1:18" ht="15" customHeight="1">
      <c r="A553" s="607">
        <v>551</v>
      </c>
      <c r="B553" s="799"/>
      <c r="C553" s="333">
        <v>72</v>
      </c>
      <c r="D553" s="365">
        <v>48</v>
      </c>
      <c r="E553" s="337">
        <v>54.48</v>
      </c>
      <c r="F553" s="336" t="s">
        <v>922</v>
      </c>
      <c r="G553" s="365">
        <v>30</v>
      </c>
      <c r="H553" s="337">
        <v>34.89</v>
      </c>
      <c r="I553" s="337">
        <v>112</v>
      </c>
      <c r="J553" s="335">
        <v>102.48</v>
      </c>
      <c r="K553" s="337">
        <v>48</v>
      </c>
      <c r="L553" s="356">
        <v>56</v>
      </c>
      <c r="M553" s="338" t="s">
        <v>275</v>
      </c>
      <c r="N553" s="335">
        <f t="shared" si="65"/>
        <v>132.01234129772109</v>
      </c>
      <c r="O553" s="335">
        <f t="shared" si="64"/>
        <v>171.00914198248756</v>
      </c>
      <c r="P553" s="335">
        <f t="shared" si="66"/>
        <v>438.38666666666671</v>
      </c>
      <c r="Q553" s="335">
        <f t="shared" si="67"/>
        <v>238.96335117139276</v>
      </c>
      <c r="R553" s="595">
        <v>551</v>
      </c>
    </row>
    <row r="554" spans="1:18" ht="15" customHeight="1">
      <c r="A554" s="607">
        <v>552</v>
      </c>
      <c r="B554" s="799"/>
      <c r="C554" s="333">
        <v>73</v>
      </c>
      <c r="D554" s="365">
        <v>48</v>
      </c>
      <c r="E554" s="337">
        <v>54.48</v>
      </c>
      <c r="F554" s="336" t="s">
        <v>1022</v>
      </c>
      <c r="G554" s="365">
        <v>36</v>
      </c>
      <c r="H554" s="337">
        <v>40.9</v>
      </c>
      <c r="I554" s="337">
        <v>112</v>
      </c>
      <c r="J554" s="335">
        <v>102.48</v>
      </c>
      <c r="K554" s="337">
        <v>48</v>
      </c>
      <c r="L554" s="356">
        <v>56</v>
      </c>
      <c r="M554" s="338" t="s">
        <v>275</v>
      </c>
      <c r="N554" s="335">
        <f t="shared" si="65"/>
        <v>138.49187614575004</v>
      </c>
      <c r="O554" s="335">
        <f t="shared" si="64"/>
        <v>178.46220894272497</v>
      </c>
      <c r="P554" s="335">
        <f t="shared" si="66"/>
        <v>438.38666666666671</v>
      </c>
      <c r="Q554" s="335">
        <f t="shared" si="67"/>
        <v>242.46165923532675</v>
      </c>
      <c r="R554" s="595">
        <v>552</v>
      </c>
    </row>
    <row r="555" spans="1:18" ht="15" customHeight="1">
      <c r="A555" s="607">
        <v>553</v>
      </c>
      <c r="B555" s="799"/>
      <c r="C555" s="333">
        <v>74</v>
      </c>
      <c r="D555" s="365">
        <v>48</v>
      </c>
      <c r="E555" s="337">
        <v>54.48</v>
      </c>
      <c r="F555" s="336" t="s">
        <v>1023</v>
      </c>
      <c r="G555" s="365">
        <v>42</v>
      </c>
      <c r="H555" s="337">
        <v>47.53</v>
      </c>
      <c r="I555" s="337">
        <v>112</v>
      </c>
      <c r="J555" s="335">
        <v>102.48</v>
      </c>
      <c r="K555" s="337">
        <v>48</v>
      </c>
      <c r="L555" s="356">
        <v>56</v>
      </c>
      <c r="M555" s="338" t="s">
        <v>275</v>
      </c>
      <c r="N555" s="335">
        <f t="shared" si="65"/>
        <v>146.14950823887517</v>
      </c>
      <c r="O555" s="335">
        <f t="shared" si="64"/>
        <v>188.05537136098823</v>
      </c>
      <c r="P555" s="335">
        <f t="shared" si="66"/>
        <v>438.38666666666671</v>
      </c>
      <c r="Q555" s="335">
        <f t="shared" si="67"/>
        <v>246.28202636114656</v>
      </c>
      <c r="R555" s="595">
        <v>553</v>
      </c>
    </row>
    <row r="556" spans="1:18" ht="15" customHeight="1">
      <c r="A556" s="607">
        <v>554</v>
      </c>
      <c r="B556" s="799"/>
      <c r="C556" s="333">
        <v>75</v>
      </c>
      <c r="D556" s="334">
        <v>60</v>
      </c>
      <c r="E556" s="337">
        <v>66.849999999999994</v>
      </c>
      <c r="F556" s="336" t="s">
        <v>923</v>
      </c>
      <c r="G556" s="334">
        <v>4</v>
      </c>
      <c r="H556" s="335">
        <v>4.75</v>
      </c>
      <c r="I556" s="335">
        <v>108</v>
      </c>
      <c r="J556" s="335">
        <v>114.61</v>
      </c>
      <c r="K556" s="335">
        <v>47.76</v>
      </c>
      <c r="L556" s="356">
        <v>54</v>
      </c>
      <c r="M556" s="338" t="s">
        <v>275</v>
      </c>
      <c r="N556" s="335">
        <f t="shared" si="65"/>
        <v>176.97464082297302</v>
      </c>
      <c r="O556" s="335">
        <f t="shared" si="64"/>
        <v>219.73443709759394</v>
      </c>
      <c r="P556" s="335">
        <f t="shared" si="66"/>
        <v>472.76624999999996</v>
      </c>
      <c r="Q556" s="335">
        <f t="shared" si="67"/>
        <v>278.18736598393542</v>
      </c>
      <c r="R556" s="595">
        <v>554</v>
      </c>
    </row>
    <row r="557" spans="1:18" ht="15" customHeight="1">
      <c r="A557" s="607">
        <v>555</v>
      </c>
      <c r="B557" s="799"/>
      <c r="C557" s="333">
        <v>76</v>
      </c>
      <c r="D557" s="365">
        <v>60</v>
      </c>
      <c r="E557" s="337">
        <v>66.849999999999994</v>
      </c>
      <c r="F557" s="336" t="s">
        <v>924</v>
      </c>
      <c r="G557" s="334">
        <v>6</v>
      </c>
      <c r="H557" s="335">
        <v>7.05</v>
      </c>
      <c r="I557" s="335">
        <v>108</v>
      </c>
      <c r="J557" s="335">
        <v>115.16</v>
      </c>
      <c r="K557" s="335">
        <v>48.31</v>
      </c>
      <c r="L557" s="356">
        <v>54</v>
      </c>
      <c r="M557" s="338" t="s">
        <v>275</v>
      </c>
      <c r="N557" s="335">
        <f t="shared" si="65"/>
        <v>177.30870775011255</v>
      </c>
      <c r="O557" s="335">
        <f t="shared" si="64"/>
        <v>220.18797852745951</v>
      </c>
      <c r="P557" s="335">
        <f t="shared" si="66"/>
        <v>475.03499999999997</v>
      </c>
      <c r="Q557" s="335">
        <f t="shared" si="67"/>
        <v>279.24751633912877</v>
      </c>
      <c r="R557" s="595">
        <v>555</v>
      </c>
    </row>
    <row r="558" spans="1:18" ht="15" customHeight="1">
      <c r="A558" s="607">
        <v>556</v>
      </c>
      <c r="B558" s="799"/>
      <c r="C558" s="333">
        <v>77</v>
      </c>
      <c r="D558" s="365">
        <v>60</v>
      </c>
      <c r="E558" s="337">
        <v>66.849999999999994</v>
      </c>
      <c r="F558" s="336" t="s">
        <v>925</v>
      </c>
      <c r="G558" s="334">
        <v>8</v>
      </c>
      <c r="H558" s="335">
        <v>9.4</v>
      </c>
      <c r="I558" s="335">
        <v>108</v>
      </c>
      <c r="J558" s="335">
        <v>115.43</v>
      </c>
      <c r="K558" s="335">
        <v>48.58</v>
      </c>
      <c r="L558" s="356">
        <v>54</v>
      </c>
      <c r="M558" s="338" t="s">
        <v>275</v>
      </c>
      <c r="N558" s="335">
        <f t="shared" si="65"/>
        <v>177.77865583172508</v>
      </c>
      <c r="O558" s="335">
        <f t="shared" si="64"/>
        <v>220.83680059763577</v>
      </c>
      <c r="P558" s="335">
        <f t="shared" si="66"/>
        <v>476.14875000000001</v>
      </c>
      <c r="Q558" s="335">
        <f t="shared" si="67"/>
        <v>279.9034355926708</v>
      </c>
      <c r="R558" s="595">
        <v>556</v>
      </c>
    </row>
    <row r="559" spans="1:18" ht="15" customHeight="1">
      <c r="A559" s="607">
        <v>557</v>
      </c>
      <c r="B559" s="799"/>
      <c r="C559" s="333">
        <v>78</v>
      </c>
      <c r="D559" s="365">
        <v>60</v>
      </c>
      <c r="E559" s="337">
        <v>66.849999999999994</v>
      </c>
      <c r="F559" s="336" t="s">
        <v>926</v>
      </c>
      <c r="G559" s="334">
        <v>10</v>
      </c>
      <c r="H559" s="335">
        <v>12</v>
      </c>
      <c r="I559" s="335">
        <v>108</v>
      </c>
      <c r="J559" s="335">
        <v>114.54</v>
      </c>
      <c r="K559" s="335">
        <v>47.69</v>
      </c>
      <c r="L559" s="356">
        <v>54</v>
      </c>
      <c r="M559" s="338" t="s">
        <v>275</v>
      </c>
      <c r="N559" s="335">
        <f t="shared" si="65"/>
        <v>178.33674304056331</v>
      </c>
      <c r="O559" s="335">
        <f t="shared" si="64"/>
        <v>221.70362527923371</v>
      </c>
      <c r="P559" s="335">
        <f t="shared" si="66"/>
        <v>472.47750000000002</v>
      </c>
      <c r="Q559" s="335">
        <f t="shared" si="67"/>
        <v>278.64629292886985</v>
      </c>
      <c r="R559" s="595">
        <v>557</v>
      </c>
    </row>
    <row r="560" spans="1:18" ht="15" customHeight="1">
      <c r="A560" s="607">
        <v>558</v>
      </c>
      <c r="B560" s="799"/>
      <c r="C560" s="333">
        <v>79</v>
      </c>
      <c r="D560" s="365">
        <v>60</v>
      </c>
      <c r="E560" s="337">
        <v>66.849999999999994</v>
      </c>
      <c r="F560" s="336" t="s">
        <v>927</v>
      </c>
      <c r="G560" s="334">
        <v>12</v>
      </c>
      <c r="H560" s="335">
        <v>14.58</v>
      </c>
      <c r="I560" s="335">
        <v>108</v>
      </c>
      <c r="J560" s="335">
        <v>116.03</v>
      </c>
      <c r="K560" s="335">
        <v>49.18</v>
      </c>
      <c r="L560" s="356">
        <v>54</v>
      </c>
      <c r="M560" s="338" t="s">
        <v>275</v>
      </c>
      <c r="N560" s="335">
        <f t="shared" si="65"/>
        <v>179.14801207401896</v>
      </c>
      <c r="O560" s="335">
        <f t="shared" si="64"/>
        <v>222.96000351924988</v>
      </c>
      <c r="P560" s="335">
        <f t="shared" si="66"/>
        <v>478.62374999999997</v>
      </c>
      <c r="Q560" s="335">
        <f t="shared" si="67"/>
        <v>281.41351066631898</v>
      </c>
      <c r="R560" s="595">
        <v>558</v>
      </c>
    </row>
    <row r="561" spans="1:18" ht="15" customHeight="1">
      <c r="A561" s="607">
        <v>559</v>
      </c>
      <c r="B561" s="799"/>
      <c r="C561" s="333">
        <v>80</v>
      </c>
      <c r="D561" s="365">
        <v>60</v>
      </c>
      <c r="E561" s="337">
        <v>66.849999999999994</v>
      </c>
      <c r="F561" s="336" t="s">
        <v>928</v>
      </c>
      <c r="G561" s="365">
        <v>15</v>
      </c>
      <c r="H561" s="335">
        <v>17.73</v>
      </c>
      <c r="I561" s="335">
        <v>108</v>
      </c>
      <c r="J561" s="335">
        <v>113.3</v>
      </c>
      <c r="K561" s="337">
        <v>46.45</v>
      </c>
      <c r="L561" s="356">
        <v>54</v>
      </c>
      <c r="M561" s="338" t="s">
        <v>275</v>
      </c>
      <c r="N561" s="335">
        <f t="shared" si="65"/>
        <v>180.23762930726988</v>
      </c>
      <c r="O561" s="335">
        <f t="shared" si="64"/>
        <v>224.28984753122421</v>
      </c>
      <c r="P561" s="335">
        <f t="shared" si="66"/>
        <v>467.36250000000001</v>
      </c>
      <c r="Q561" s="335">
        <f t="shared" si="67"/>
        <v>277.46669029478022</v>
      </c>
      <c r="R561" s="595">
        <v>559</v>
      </c>
    </row>
    <row r="562" spans="1:18" ht="15" customHeight="1">
      <c r="A562" s="607">
        <v>560</v>
      </c>
      <c r="B562" s="799"/>
      <c r="C562" s="333">
        <v>81</v>
      </c>
      <c r="D562" s="365">
        <v>60</v>
      </c>
      <c r="E562" s="337">
        <v>66.849999999999994</v>
      </c>
      <c r="F562" s="336" t="s">
        <v>929</v>
      </c>
      <c r="G562" s="365">
        <v>18</v>
      </c>
      <c r="H562" s="335">
        <v>21.45</v>
      </c>
      <c r="I562" s="335">
        <v>108</v>
      </c>
      <c r="J562" s="335">
        <v>117.22</v>
      </c>
      <c r="K562" s="337">
        <v>50.37</v>
      </c>
      <c r="L562" s="356">
        <v>54</v>
      </c>
      <c r="M562" s="338" t="s">
        <v>275</v>
      </c>
      <c r="N562" s="335">
        <f t="shared" si="65"/>
        <v>182.36503567621838</v>
      </c>
      <c r="O562" s="335">
        <f t="shared" si="64"/>
        <v>227.39175008862671</v>
      </c>
      <c r="P562" s="335">
        <f t="shared" si="66"/>
        <v>483.53250000000003</v>
      </c>
      <c r="Q562" s="335">
        <f t="shared" si="67"/>
        <v>284.8213356407677</v>
      </c>
      <c r="R562" s="595">
        <v>560</v>
      </c>
    </row>
    <row r="563" spans="1:18" ht="15" customHeight="1">
      <c r="A563" s="607">
        <v>561</v>
      </c>
      <c r="B563" s="799"/>
      <c r="C563" s="333">
        <v>82</v>
      </c>
      <c r="D563" s="365">
        <v>60</v>
      </c>
      <c r="E563" s="337">
        <v>66.849999999999994</v>
      </c>
      <c r="F563" s="336" t="s">
        <v>930</v>
      </c>
      <c r="G563" s="365">
        <v>24</v>
      </c>
      <c r="H563" s="335">
        <v>28.2</v>
      </c>
      <c r="I563" s="335">
        <v>108</v>
      </c>
      <c r="J563" s="335">
        <v>118</v>
      </c>
      <c r="K563" s="337">
        <v>51.15</v>
      </c>
      <c r="L563" s="356">
        <v>54</v>
      </c>
      <c r="M563" s="338" t="s">
        <v>275</v>
      </c>
      <c r="N563" s="335">
        <f t="shared" si="65"/>
        <v>186.96403279676255</v>
      </c>
      <c r="O563" s="335">
        <f t="shared" si="64"/>
        <v>233.51836166999067</v>
      </c>
      <c r="P563" s="335">
        <f t="shared" si="66"/>
        <v>486.75</v>
      </c>
      <c r="Q563" s="335">
        <f t="shared" si="67"/>
        <v>288.25668812876631</v>
      </c>
      <c r="R563" s="595">
        <v>561</v>
      </c>
    </row>
    <row r="564" spans="1:18" ht="15" customHeight="1">
      <c r="A564" s="607">
        <v>562</v>
      </c>
      <c r="B564" s="799"/>
      <c r="C564" s="333">
        <v>83</v>
      </c>
      <c r="D564" s="365">
        <v>60</v>
      </c>
      <c r="E564" s="337">
        <v>66.849999999999994</v>
      </c>
      <c r="F564" s="336" t="s">
        <v>931</v>
      </c>
      <c r="G564" s="365">
        <v>30</v>
      </c>
      <c r="H564" s="337">
        <v>34.89</v>
      </c>
      <c r="I564" s="335">
        <v>108</v>
      </c>
      <c r="J564" s="335">
        <v>114.85</v>
      </c>
      <c r="K564" s="337">
        <v>48</v>
      </c>
      <c r="L564" s="356">
        <v>54</v>
      </c>
      <c r="M564" s="338" t="s">
        <v>275</v>
      </c>
      <c r="N564" s="335">
        <f t="shared" si="65"/>
        <v>191.44080232812803</v>
      </c>
      <c r="O564" s="335">
        <f t="shared" si="64"/>
        <v>239.28594290037688</v>
      </c>
      <c r="P564" s="335">
        <f t="shared" si="66"/>
        <v>473.75624999999997</v>
      </c>
      <c r="Q564" s="335">
        <f t="shared" si="67"/>
        <v>285.22892516797725</v>
      </c>
      <c r="R564" s="595">
        <v>562</v>
      </c>
    </row>
    <row r="565" spans="1:18" ht="15" customHeight="1">
      <c r="A565" s="607">
        <v>563</v>
      </c>
      <c r="B565" s="605"/>
      <c r="C565" s="333">
        <v>84</v>
      </c>
      <c r="D565" s="365">
        <v>60</v>
      </c>
      <c r="E565" s="337">
        <v>66.849999999999994</v>
      </c>
      <c r="F565" s="336" t="s">
        <v>1025</v>
      </c>
      <c r="G565" s="365">
        <v>36</v>
      </c>
      <c r="H565" s="337">
        <v>40.9</v>
      </c>
      <c r="I565" s="335">
        <v>108</v>
      </c>
      <c r="J565" s="335">
        <v>114.85</v>
      </c>
      <c r="K565" s="337">
        <v>48</v>
      </c>
      <c r="L565" s="356">
        <v>54</v>
      </c>
      <c r="M565" s="338" t="s">
        <v>275</v>
      </c>
      <c r="N565" s="335">
        <f t="shared" si="65"/>
        <v>197.92033717615698</v>
      </c>
      <c r="O565" s="335">
        <f t="shared" si="64"/>
        <v>246.73900986061426</v>
      </c>
      <c r="P565" s="335">
        <f t="shared" si="66"/>
        <v>473.75624999999997</v>
      </c>
      <c r="Q565" s="335">
        <f t="shared" si="67"/>
        <v>288.72723323191127</v>
      </c>
      <c r="R565" s="595">
        <v>563</v>
      </c>
    </row>
    <row r="566" spans="1:18" ht="15" customHeight="1" thickBot="1">
      <c r="A566" s="607">
        <v>564</v>
      </c>
      <c r="B566" s="605"/>
      <c r="C566" s="345">
        <v>85</v>
      </c>
      <c r="D566" s="537">
        <v>60</v>
      </c>
      <c r="E566" s="369">
        <v>66.849999999999994</v>
      </c>
      <c r="F566" s="538" t="s">
        <v>1024</v>
      </c>
      <c r="G566" s="537">
        <v>42</v>
      </c>
      <c r="H566" s="369">
        <v>47.53</v>
      </c>
      <c r="I566" s="335">
        <v>108</v>
      </c>
      <c r="J566" s="539">
        <v>114.85</v>
      </c>
      <c r="K566" s="337">
        <v>48</v>
      </c>
      <c r="L566" s="540">
        <v>54</v>
      </c>
      <c r="M566" s="338" t="s">
        <v>275</v>
      </c>
      <c r="N566" s="335">
        <f t="shared" si="65"/>
        <v>205.57796926928208</v>
      </c>
      <c r="O566" s="335">
        <f t="shared" si="64"/>
        <v>256.33217227887752</v>
      </c>
      <c r="P566" s="335">
        <f t="shared" si="66"/>
        <v>473.75624999999997</v>
      </c>
      <c r="Q566" s="335">
        <f t="shared" si="67"/>
        <v>292.54760035773108</v>
      </c>
      <c r="R566" s="595">
        <v>564</v>
      </c>
    </row>
    <row r="567" spans="1:18" ht="15" customHeight="1" thickTop="1">
      <c r="A567" s="607">
        <v>565</v>
      </c>
      <c r="B567" s="800" t="s">
        <v>852</v>
      </c>
      <c r="C567" s="597">
        <v>1</v>
      </c>
      <c r="D567" s="351">
        <v>8</v>
      </c>
      <c r="E567" s="363">
        <v>9.4</v>
      </c>
      <c r="F567" s="362" t="s">
        <v>932</v>
      </c>
      <c r="G567" s="351">
        <v>4</v>
      </c>
      <c r="H567" s="352">
        <v>4.75</v>
      </c>
      <c r="I567" s="352">
        <v>219.59</v>
      </c>
      <c r="J567" s="352">
        <v>57.16</v>
      </c>
      <c r="K567" s="352">
        <v>47.76</v>
      </c>
      <c r="L567" s="354">
        <v>54.9</v>
      </c>
      <c r="M567" s="352">
        <v>109.79</v>
      </c>
      <c r="N567" s="352">
        <f>PI()*D567^2/4*I567/1728+2*PI()*G567^2/4*(K567-12)/1728</f>
        <v>6.9077222911848901</v>
      </c>
      <c r="O567" s="352">
        <f>PI()*E567^2/4*I567/1728+2*PI()*H567^2/4*(K567-12)/1728</f>
        <v>9.5523335311000821</v>
      </c>
      <c r="P567" s="352">
        <f>66*I567*J567/1728</f>
        <v>479.40766805555552</v>
      </c>
      <c r="Q567" s="352">
        <f>0.4*(P567-O567)+N567</f>
        <v>194.84985610096706</v>
      </c>
      <c r="R567" s="595">
        <v>565</v>
      </c>
    </row>
    <row r="568" spans="1:18" ht="15" customHeight="1">
      <c r="A568" s="607">
        <v>566</v>
      </c>
      <c r="B568" s="801"/>
      <c r="C568" s="598">
        <v>2</v>
      </c>
      <c r="D568" s="365">
        <v>8</v>
      </c>
      <c r="E568" s="337">
        <v>9.4</v>
      </c>
      <c r="F568" s="336" t="s">
        <v>933</v>
      </c>
      <c r="G568" s="334">
        <v>6</v>
      </c>
      <c r="H568" s="335">
        <v>7.05</v>
      </c>
      <c r="I568" s="335">
        <v>219.59</v>
      </c>
      <c r="J568" s="335">
        <v>57.71</v>
      </c>
      <c r="K568" s="335">
        <v>48.31</v>
      </c>
      <c r="L568" s="356">
        <v>54.9</v>
      </c>
      <c r="M568" s="335">
        <v>109.79</v>
      </c>
      <c r="N568" s="367">
        <f t="shared" ref="N568:N634" si="68">PI()*D568^2/4*I568/1728+2*PI()*G568^2/4*(K568-12)/1728</f>
        <v>7.5758561454639697</v>
      </c>
      <c r="O568" s="367">
        <f t="shared" ref="O568:O634" si="69">PI()*E568^2/4*I568/1728+2*PI()*H568^2/4*(K568-12)/1728</f>
        <v>10.459416390831194</v>
      </c>
      <c r="P568" s="367">
        <f t="shared" ref="P568:P634" si="70">66*I568*J568/1728</f>
        <v>484.02058298611115</v>
      </c>
      <c r="Q568" s="367">
        <f t="shared" ref="Q568:Q634" si="71">0.4*(P568-O568)+N568</f>
        <v>197.00032278357597</v>
      </c>
      <c r="R568" s="595">
        <v>566</v>
      </c>
    </row>
    <row r="569" spans="1:18" ht="15" customHeight="1">
      <c r="A569" s="607">
        <v>567</v>
      </c>
      <c r="B569" s="801"/>
      <c r="C569" s="598">
        <v>3</v>
      </c>
      <c r="D569" s="365">
        <v>8</v>
      </c>
      <c r="E569" s="337">
        <v>9.4</v>
      </c>
      <c r="F569" s="336" t="s">
        <v>1026</v>
      </c>
      <c r="G569" s="334">
        <v>8</v>
      </c>
      <c r="H569" s="335">
        <v>9.4</v>
      </c>
      <c r="I569" s="335">
        <v>219.59</v>
      </c>
      <c r="J569" s="335">
        <v>57.98</v>
      </c>
      <c r="K569" s="335">
        <v>48.58</v>
      </c>
      <c r="L569" s="356">
        <v>54.9</v>
      </c>
      <c r="M569" s="335">
        <v>109.79</v>
      </c>
      <c r="N569" s="335">
        <f t="shared" si="68"/>
        <v>8.5157523086889988</v>
      </c>
      <c r="O569" s="335">
        <f t="shared" si="69"/>
        <v>11.75706053118375</v>
      </c>
      <c r="P569" s="335">
        <f t="shared" si="70"/>
        <v>486.28510486111111</v>
      </c>
      <c r="Q569" s="335">
        <f t="shared" si="71"/>
        <v>198.32697004065994</v>
      </c>
      <c r="R569" s="595">
        <v>567</v>
      </c>
    </row>
    <row r="570" spans="1:18" ht="15" customHeight="1">
      <c r="A570" s="607">
        <v>568</v>
      </c>
      <c r="B570" s="801"/>
      <c r="C570" s="598">
        <v>4</v>
      </c>
      <c r="D570" s="334">
        <v>10</v>
      </c>
      <c r="E570" s="337">
        <v>12</v>
      </c>
      <c r="F570" s="336" t="s">
        <v>934</v>
      </c>
      <c r="G570" s="334">
        <v>4</v>
      </c>
      <c r="H570" s="335">
        <v>4.75</v>
      </c>
      <c r="I570" s="335">
        <v>218.46</v>
      </c>
      <c r="J570" s="335">
        <v>59.76</v>
      </c>
      <c r="K570" s="335">
        <v>47.76</v>
      </c>
      <c r="L570" s="356">
        <v>54.62</v>
      </c>
      <c r="M570" s="335">
        <v>109.22</v>
      </c>
      <c r="N570" s="335">
        <f t="shared" si="68"/>
        <v>10.449395314768301</v>
      </c>
      <c r="O570" s="335">
        <f t="shared" si="69"/>
        <v>15.03160727664682</v>
      </c>
      <c r="P570" s="335">
        <f t="shared" si="70"/>
        <v>498.63495</v>
      </c>
      <c r="Q570" s="335">
        <f t="shared" si="71"/>
        <v>203.8907324041096</v>
      </c>
      <c r="R570" s="595">
        <v>568</v>
      </c>
    </row>
    <row r="571" spans="1:18" ht="15" customHeight="1">
      <c r="A571" s="607">
        <v>569</v>
      </c>
      <c r="B571" s="801"/>
      <c r="C571" s="598">
        <v>5</v>
      </c>
      <c r="D571" s="365">
        <v>10</v>
      </c>
      <c r="E571" s="337">
        <v>12</v>
      </c>
      <c r="F571" s="336" t="s">
        <v>935</v>
      </c>
      <c r="G571" s="334">
        <v>6</v>
      </c>
      <c r="H571" s="335">
        <v>7.05</v>
      </c>
      <c r="I571" s="335">
        <v>218.46</v>
      </c>
      <c r="J571" s="335">
        <v>60.31</v>
      </c>
      <c r="K571" s="335">
        <v>48.31</v>
      </c>
      <c r="L571" s="356">
        <v>54.62</v>
      </c>
      <c r="M571" s="335">
        <v>109.22</v>
      </c>
      <c r="N571" s="335">
        <f t="shared" si="68"/>
        <v>11.117529169047382</v>
      </c>
      <c r="O571" s="335">
        <f t="shared" si="69"/>
        <v>15.938690136377932</v>
      </c>
      <c r="P571" s="335">
        <f t="shared" si="70"/>
        <v>503.22412708333337</v>
      </c>
      <c r="Q571" s="335">
        <f t="shared" si="71"/>
        <v>206.03170394782956</v>
      </c>
      <c r="R571" s="595">
        <v>569</v>
      </c>
    </row>
    <row r="572" spans="1:18">
      <c r="A572" s="607">
        <v>570</v>
      </c>
      <c r="B572" s="801"/>
      <c r="C572" s="598">
        <v>6</v>
      </c>
      <c r="D572" s="365">
        <v>10</v>
      </c>
      <c r="E572" s="337">
        <v>12</v>
      </c>
      <c r="F572" s="336" t="s">
        <v>936</v>
      </c>
      <c r="G572" s="334">
        <v>8</v>
      </c>
      <c r="H572" s="335">
        <v>9.4</v>
      </c>
      <c r="I572" s="335">
        <v>218.46</v>
      </c>
      <c r="J572" s="335">
        <v>60.58</v>
      </c>
      <c r="K572" s="335">
        <v>48.58</v>
      </c>
      <c r="L572" s="356">
        <v>54.62</v>
      </c>
      <c r="M572" s="335">
        <v>109.22</v>
      </c>
      <c r="N572" s="335">
        <f t="shared" si="68"/>
        <v>12.057425332272411</v>
      </c>
      <c r="O572" s="335">
        <f t="shared" si="69"/>
        <v>17.236334276730489</v>
      </c>
      <c r="P572" s="335">
        <f t="shared" si="70"/>
        <v>505.47699583333338</v>
      </c>
      <c r="Q572" s="335">
        <f t="shared" si="71"/>
        <v>207.35368995491356</v>
      </c>
      <c r="R572" s="595">
        <v>570</v>
      </c>
    </row>
    <row r="573" spans="1:18">
      <c r="A573" s="607">
        <v>571</v>
      </c>
      <c r="B573" s="801"/>
      <c r="C573" s="598">
        <v>7</v>
      </c>
      <c r="D573" s="365">
        <v>10</v>
      </c>
      <c r="E573" s="337">
        <v>12</v>
      </c>
      <c r="F573" s="336" t="s">
        <v>937</v>
      </c>
      <c r="G573" s="334">
        <v>10</v>
      </c>
      <c r="H573" s="335">
        <v>12</v>
      </c>
      <c r="I573" s="335">
        <v>218.46</v>
      </c>
      <c r="J573" s="335">
        <v>59.69</v>
      </c>
      <c r="K573" s="335">
        <v>47.69</v>
      </c>
      <c r="L573" s="356">
        <v>54.62</v>
      </c>
      <c r="M573" s="335">
        <v>109.22</v>
      </c>
      <c r="N573" s="335">
        <f t="shared" si="68"/>
        <v>13.173599749948867</v>
      </c>
      <c r="O573" s="335">
        <f t="shared" si="69"/>
        <v>18.969983639926369</v>
      </c>
      <c r="P573" s="335">
        <f t="shared" si="70"/>
        <v>498.05087291666666</v>
      </c>
      <c r="Q573" s="335">
        <f t="shared" si="71"/>
        <v>204.80595546064501</v>
      </c>
      <c r="R573" s="595">
        <v>571</v>
      </c>
    </row>
    <row r="574" spans="1:18">
      <c r="A574" s="607">
        <v>572</v>
      </c>
      <c r="B574" s="801"/>
      <c r="C574" s="598">
        <v>8</v>
      </c>
      <c r="D574" s="334">
        <v>12</v>
      </c>
      <c r="E574" s="337">
        <v>14.58</v>
      </c>
      <c r="F574" s="336" t="s">
        <v>938</v>
      </c>
      <c r="G574" s="334">
        <v>4</v>
      </c>
      <c r="H574" s="335">
        <v>4.75</v>
      </c>
      <c r="I574" s="335">
        <v>220.33</v>
      </c>
      <c r="J574" s="335">
        <v>62.34</v>
      </c>
      <c r="K574" s="335">
        <v>47.76</v>
      </c>
      <c r="L574" s="356">
        <v>55.08</v>
      </c>
      <c r="M574" s="335">
        <v>110.17</v>
      </c>
      <c r="N574" s="335">
        <f t="shared" si="68"/>
        <v>14.940672895540958</v>
      </c>
      <c r="O574" s="335">
        <f t="shared" si="69"/>
        <v>22.021431952058681</v>
      </c>
      <c r="P574" s="335">
        <f t="shared" si="70"/>
        <v>524.6149104166667</v>
      </c>
      <c r="Q574" s="335">
        <f t="shared" si="71"/>
        <v>215.97806428138418</v>
      </c>
      <c r="R574" s="595">
        <v>572</v>
      </c>
    </row>
    <row r="575" spans="1:18">
      <c r="A575" s="607">
        <v>573</v>
      </c>
      <c r="B575" s="801"/>
      <c r="C575" s="598">
        <v>9</v>
      </c>
      <c r="D575" s="365">
        <v>12</v>
      </c>
      <c r="E575" s="337">
        <v>14.58</v>
      </c>
      <c r="F575" s="336" t="s">
        <v>939</v>
      </c>
      <c r="G575" s="334">
        <v>6</v>
      </c>
      <c r="H575" s="335">
        <v>7.05</v>
      </c>
      <c r="I575" s="335">
        <v>220.33</v>
      </c>
      <c r="J575" s="335">
        <v>62.89</v>
      </c>
      <c r="K575" s="335">
        <v>48.31</v>
      </c>
      <c r="L575" s="356">
        <v>55.08</v>
      </c>
      <c r="M575" s="335">
        <v>110.17</v>
      </c>
      <c r="N575" s="335">
        <f t="shared" si="68"/>
        <v>15.608806749820038</v>
      </c>
      <c r="O575" s="335">
        <f t="shared" si="69"/>
        <v>22.928514811789793</v>
      </c>
      <c r="P575" s="335">
        <f t="shared" si="70"/>
        <v>529.24337048611108</v>
      </c>
      <c r="Q575" s="335">
        <f t="shared" si="71"/>
        <v>218.13474901954856</v>
      </c>
      <c r="R575" s="595">
        <v>573</v>
      </c>
    </row>
    <row r="576" spans="1:18">
      <c r="A576" s="607">
        <v>574</v>
      </c>
      <c r="B576" s="801"/>
      <c r="C576" s="598">
        <v>10</v>
      </c>
      <c r="D576" s="365">
        <v>12</v>
      </c>
      <c r="E576" s="337">
        <v>14.58</v>
      </c>
      <c r="F576" s="336" t="s">
        <v>940</v>
      </c>
      <c r="G576" s="334">
        <v>8</v>
      </c>
      <c r="H576" s="335">
        <v>9.4</v>
      </c>
      <c r="I576" s="335">
        <v>220.33</v>
      </c>
      <c r="J576" s="335">
        <v>63.16</v>
      </c>
      <c r="K576" s="335">
        <v>48.58</v>
      </c>
      <c r="L576" s="356">
        <v>55.08</v>
      </c>
      <c r="M576" s="335">
        <v>110.17</v>
      </c>
      <c r="N576" s="335">
        <f t="shared" si="68"/>
        <v>16.548702913045066</v>
      </c>
      <c r="O576" s="335">
        <f t="shared" si="69"/>
        <v>24.226158952142349</v>
      </c>
      <c r="P576" s="335">
        <f t="shared" si="70"/>
        <v>531.51552361111112</v>
      </c>
      <c r="Q576" s="335">
        <f t="shared" si="71"/>
        <v>219.46444877663259</v>
      </c>
      <c r="R576" s="595">
        <v>574</v>
      </c>
    </row>
    <row r="577" spans="1:18">
      <c r="A577" s="607">
        <v>575</v>
      </c>
      <c r="B577" s="801"/>
      <c r="C577" s="598">
        <v>11</v>
      </c>
      <c r="D577" s="365">
        <v>12</v>
      </c>
      <c r="E577" s="337">
        <v>14.58</v>
      </c>
      <c r="F577" s="336" t="s">
        <v>941</v>
      </c>
      <c r="G577" s="334">
        <v>10</v>
      </c>
      <c r="H577" s="335">
        <v>12</v>
      </c>
      <c r="I577" s="335">
        <v>220.33</v>
      </c>
      <c r="J577" s="335">
        <v>62.27</v>
      </c>
      <c r="K577" s="335">
        <v>47.69</v>
      </c>
      <c r="L577" s="356">
        <v>55.08</v>
      </c>
      <c r="M577" s="335">
        <v>110.17</v>
      </c>
      <c r="N577" s="335">
        <f t="shared" si="68"/>
        <v>17.664877330721524</v>
      </c>
      <c r="O577" s="335">
        <f t="shared" si="69"/>
        <v>25.959808315338229</v>
      </c>
      <c r="P577" s="335">
        <f t="shared" si="70"/>
        <v>524.02583368055559</v>
      </c>
      <c r="Q577" s="335">
        <f t="shared" si="71"/>
        <v>216.89128747680849</v>
      </c>
      <c r="R577" s="595">
        <v>575</v>
      </c>
    </row>
    <row r="578" spans="1:18">
      <c r="A578" s="607">
        <v>576</v>
      </c>
      <c r="B578" s="801"/>
      <c r="C578" s="598">
        <v>12</v>
      </c>
      <c r="D578" s="365">
        <v>12</v>
      </c>
      <c r="E578" s="337">
        <v>14.58</v>
      </c>
      <c r="F578" s="336" t="s">
        <v>942</v>
      </c>
      <c r="G578" s="334">
        <v>12</v>
      </c>
      <c r="H578" s="335">
        <v>14.58</v>
      </c>
      <c r="I578" s="335">
        <v>220.33</v>
      </c>
      <c r="J578" s="337">
        <v>63.76</v>
      </c>
      <c r="K578" s="335">
        <v>49.18</v>
      </c>
      <c r="L578" s="356">
        <v>55.08</v>
      </c>
      <c r="M578" s="335">
        <v>110.17</v>
      </c>
      <c r="N578" s="335">
        <f t="shared" si="68"/>
        <v>19.287415397632834</v>
      </c>
      <c r="O578" s="335">
        <f t="shared" si="69"/>
        <v>28.472564795370538</v>
      </c>
      <c r="P578" s="335">
        <f t="shared" si="70"/>
        <v>536.56475277777781</v>
      </c>
      <c r="Q578" s="335">
        <f t="shared" si="71"/>
        <v>222.52429059059574</v>
      </c>
      <c r="R578" s="595">
        <v>576</v>
      </c>
    </row>
    <row r="579" spans="1:18">
      <c r="A579" s="607">
        <v>577</v>
      </c>
      <c r="B579" s="801"/>
      <c r="C579" s="598">
        <v>13</v>
      </c>
      <c r="D579" s="334">
        <v>15</v>
      </c>
      <c r="E579" s="337">
        <v>17.73</v>
      </c>
      <c r="F579" s="336" t="s">
        <v>943</v>
      </c>
      <c r="G579" s="334">
        <v>4</v>
      </c>
      <c r="H579" s="335">
        <v>4.75</v>
      </c>
      <c r="I579" s="335">
        <v>216.77</v>
      </c>
      <c r="J579" s="337">
        <v>65.489999999999995</v>
      </c>
      <c r="K579" s="335">
        <v>47.76</v>
      </c>
      <c r="L579" s="356">
        <v>54.19</v>
      </c>
      <c r="M579" s="335">
        <v>108.39</v>
      </c>
      <c r="N579" s="335">
        <f t="shared" si="68"/>
        <v>22.688175809759006</v>
      </c>
      <c r="O579" s="335">
        <f t="shared" si="69"/>
        <v>31.704973119042748</v>
      </c>
      <c r="P579" s="335">
        <f t="shared" si="70"/>
        <v>542.2185427083333</v>
      </c>
      <c r="Q579" s="335">
        <f t="shared" si="71"/>
        <v>226.89360364547525</v>
      </c>
      <c r="R579" s="595">
        <v>577</v>
      </c>
    </row>
    <row r="580" spans="1:18">
      <c r="A580" s="607">
        <v>578</v>
      </c>
      <c r="B580" s="801"/>
      <c r="C580" s="598">
        <v>14</v>
      </c>
      <c r="D580" s="365">
        <v>15</v>
      </c>
      <c r="E580" s="337">
        <v>17.73</v>
      </c>
      <c r="F580" s="336" t="s">
        <v>944</v>
      </c>
      <c r="G580" s="334">
        <v>6</v>
      </c>
      <c r="H580" s="335">
        <v>7.05</v>
      </c>
      <c r="I580" s="335">
        <v>216.77</v>
      </c>
      <c r="J580" s="335">
        <v>66.040000000000006</v>
      </c>
      <c r="K580" s="335">
        <v>48.31</v>
      </c>
      <c r="L580" s="356">
        <v>54.19</v>
      </c>
      <c r="M580" s="335">
        <v>108.39</v>
      </c>
      <c r="N580" s="335">
        <f t="shared" si="68"/>
        <v>23.356309664038086</v>
      </c>
      <c r="O580" s="335">
        <f t="shared" si="69"/>
        <v>32.61205597877386</v>
      </c>
      <c r="P580" s="335">
        <f t="shared" si="70"/>
        <v>546.77221805555564</v>
      </c>
      <c r="Q580" s="335">
        <f t="shared" si="71"/>
        <v>229.02037449475083</v>
      </c>
      <c r="R580" s="595">
        <v>578</v>
      </c>
    </row>
    <row r="581" spans="1:18">
      <c r="A581" s="607">
        <v>579</v>
      </c>
      <c r="B581" s="801"/>
      <c r="C581" s="598">
        <v>15</v>
      </c>
      <c r="D581" s="365">
        <v>15</v>
      </c>
      <c r="E581" s="337">
        <v>17.73</v>
      </c>
      <c r="F581" s="336" t="s">
        <v>945</v>
      </c>
      <c r="G581" s="334">
        <v>8</v>
      </c>
      <c r="H581" s="335">
        <v>9.4</v>
      </c>
      <c r="I581" s="335">
        <v>216.77</v>
      </c>
      <c r="J581" s="337">
        <v>66.31</v>
      </c>
      <c r="K581" s="335">
        <v>48.58</v>
      </c>
      <c r="L581" s="356">
        <v>54.19</v>
      </c>
      <c r="M581" s="335">
        <v>108.39</v>
      </c>
      <c r="N581" s="335">
        <f t="shared" si="68"/>
        <v>24.296205827263115</v>
      </c>
      <c r="O581" s="335">
        <f t="shared" si="69"/>
        <v>33.90970011912642</v>
      </c>
      <c r="P581" s="335">
        <f t="shared" si="70"/>
        <v>549.00765868055566</v>
      </c>
      <c r="Q581" s="335">
        <f t="shared" si="71"/>
        <v>230.33538925183481</v>
      </c>
      <c r="R581" s="595">
        <v>579</v>
      </c>
    </row>
    <row r="582" spans="1:18">
      <c r="A582" s="607">
        <v>580</v>
      </c>
      <c r="B582" s="801"/>
      <c r="C582" s="598">
        <v>16</v>
      </c>
      <c r="D582" s="365">
        <v>15</v>
      </c>
      <c r="E582" s="337">
        <v>17.73</v>
      </c>
      <c r="F582" s="336" t="s">
        <v>946</v>
      </c>
      <c r="G582" s="334">
        <v>10</v>
      </c>
      <c r="H582" s="335">
        <v>12</v>
      </c>
      <c r="I582" s="335">
        <v>216.77</v>
      </c>
      <c r="J582" s="337">
        <v>65.42</v>
      </c>
      <c r="K582" s="335">
        <v>47.69</v>
      </c>
      <c r="L582" s="356">
        <v>54.19</v>
      </c>
      <c r="M582" s="335">
        <v>108.39</v>
      </c>
      <c r="N582" s="335">
        <f t="shared" si="68"/>
        <v>25.412380244939573</v>
      </c>
      <c r="O582" s="335">
        <f t="shared" si="69"/>
        <v>35.643349482322293</v>
      </c>
      <c r="P582" s="335">
        <f t="shared" si="70"/>
        <v>541.63898402777784</v>
      </c>
      <c r="Q582" s="335">
        <f t="shared" si="71"/>
        <v>227.81063406312182</v>
      </c>
      <c r="R582" s="595">
        <v>580</v>
      </c>
    </row>
    <row r="583" spans="1:18">
      <c r="A583" s="607">
        <v>581</v>
      </c>
      <c r="B583" s="801"/>
      <c r="C583" s="598">
        <v>17</v>
      </c>
      <c r="D583" s="365">
        <v>15</v>
      </c>
      <c r="E583" s="337">
        <v>17.73</v>
      </c>
      <c r="F583" s="336" t="s">
        <v>947</v>
      </c>
      <c r="G583" s="334">
        <v>12</v>
      </c>
      <c r="H583" s="335">
        <v>14.58</v>
      </c>
      <c r="I583" s="335">
        <v>216.77</v>
      </c>
      <c r="J583" s="337">
        <v>66.91</v>
      </c>
      <c r="K583" s="335">
        <v>49.18</v>
      </c>
      <c r="L583" s="356">
        <v>54.19</v>
      </c>
      <c r="M583" s="335">
        <v>108.39</v>
      </c>
      <c r="N583" s="335">
        <f t="shared" si="68"/>
        <v>27.034918311850884</v>
      </c>
      <c r="O583" s="335">
        <f t="shared" si="69"/>
        <v>38.156105962354602</v>
      </c>
      <c r="P583" s="335">
        <f t="shared" si="70"/>
        <v>553.97530451388889</v>
      </c>
      <c r="Q583" s="335">
        <f t="shared" si="71"/>
        <v>233.36259773246462</v>
      </c>
      <c r="R583" s="595">
        <v>581</v>
      </c>
    </row>
    <row r="584" spans="1:18">
      <c r="A584" s="607">
        <v>582</v>
      </c>
      <c r="B584" s="801"/>
      <c r="C584" s="598">
        <v>18</v>
      </c>
      <c r="D584" s="365">
        <v>15</v>
      </c>
      <c r="E584" s="337">
        <v>17.73</v>
      </c>
      <c r="F584" s="336" t="s">
        <v>948</v>
      </c>
      <c r="G584" s="365">
        <v>15</v>
      </c>
      <c r="H584" s="335">
        <v>17.73</v>
      </c>
      <c r="I584" s="335">
        <v>216.77</v>
      </c>
      <c r="J584" s="335">
        <v>64.180000000000007</v>
      </c>
      <c r="K584" s="337">
        <v>46.45</v>
      </c>
      <c r="L584" s="356">
        <v>54.19</v>
      </c>
      <c r="M584" s="335">
        <v>108.39</v>
      </c>
      <c r="N584" s="335">
        <f t="shared" si="68"/>
        <v>29.214152778352741</v>
      </c>
      <c r="O584" s="335">
        <f t="shared" si="69"/>
        <v>40.815793986303298</v>
      </c>
      <c r="P584" s="335">
        <f t="shared" si="70"/>
        <v>531.37251597222235</v>
      </c>
      <c r="Q584" s="335">
        <f t="shared" si="71"/>
        <v>225.43684157272037</v>
      </c>
      <c r="R584" s="595">
        <v>582</v>
      </c>
    </row>
    <row r="585" spans="1:18">
      <c r="A585" s="607">
        <v>583</v>
      </c>
      <c r="B585" s="801"/>
      <c r="C585" s="598">
        <v>19</v>
      </c>
      <c r="D585" s="334">
        <v>18</v>
      </c>
      <c r="E585" s="337">
        <v>21.45</v>
      </c>
      <c r="F585" s="336" t="s">
        <v>949</v>
      </c>
      <c r="G585" s="334">
        <v>4</v>
      </c>
      <c r="H585" s="335">
        <v>4.75</v>
      </c>
      <c r="I585" s="335">
        <v>219.26</v>
      </c>
      <c r="J585" s="335">
        <v>69.209999999999994</v>
      </c>
      <c r="K585" s="335">
        <v>47.76</v>
      </c>
      <c r="L585" s="356">
        <v>54.82</v>
      </c>
      <c r="M585" s="335">
        <v>109.62</v>
      </c>
      <c r="N585" s="335">
        <f t="shared" si="68"/>
        <v>32.808808362067651</v>
      </c>
      <c r="O585" s="335">
        <f t="shared" si="69"/>
        <v>46.585630330708767</v>
      </c>
      <c r="P585" s="335">
        <f t="shared" si="70"/>
        <v>579.60010624999995</v>
      </c>
      <c r="Q585" s="335">
        <f t="shared" si="71"/>
        <v>246.01459872978413</v>
      </c>
      <c r="R585" s="595">
        <v>583</v>
      </c>
    </row>
    <row r="586" spans="1:18">
      <c r="A586" s="607">
        <v>584</v>
      </c>
      <c r="B586" s="801"/>
      <c r="C586" s="598">
        <v>20</v>
      </c>
      <c r="D586" s="365">
        <v>18</v>
      </c>
      <c r="E586" s="337">
        <v>21.45</v>
      </c>
      <c r="F586" s="336" t="s">
        <v>950</v>
      </c>
      <c r="G586" s="334">
        <v>6</v>
      </c>
      <c r="H586" s="335">
        <v>7.05</v>
      </c>
      <c r="I586" s="335">
        <v>219.26</v>
      </c>
      <c r="J586" s="335">
        <v>69.760000000000005</v>
      </c>
      <c r="K586" s="335">
        <v>48.31</v>
      </c>
      <c r="L586" s="356">
        <v>54.82</v>
      </c>
      <c r="M586" s="335">
        <v>109.62</v>
      </c>
      <c r="N586" s="335">
        <f t="shared" si="68"/>
        <v>33.476942216346728</v>
      </c>
      <c r="O586" s="335">
        <f t="shared" si="69"/>
        <v>47.492713190439886</v>
      </c>
      <c r="P586" s="335">
        <f t="shared" si="70"/>
        <v>584.20608888888898</v>
      </c>
      <c r="Q586" s="335">
        <f t="shared" si="71"/>
        <v>248.16229249572638</v>
      </c>
      <c r="R586" s="595">
        <v>584</v>
      </c>
    </row>
    <row r="587" spans="1:18">
      <c r="A587" s="607">
        <v>585</v>
      </c>
      <c r="B587" s="801"/>
      <c r="C587" s="598">
        <v>21</v>
      </c>
      <c r="D587" s="365">
        <v>18</v>
      </c>
      <c r="E587" s="337">
        <v>21.45</v>
      </c>
      <c r="F587" s="336" t="s">
        <v>951</v>
      </c>
      <c r="G587" s="334">
        <v>8</v>
      </c>
      <c r="H587" s="335">
        <v>9.4</v>
      </c>
      <c r="I587" s="335">
        <v>219.26</v>
      </c>
      <c r="J587" s="335">
        <v>70.03</v>
      </c>
      <c r="K587" s="335">
        <v>48.58</v>
      </c>
      <c r="L587" s="356">
        <v>54.82</v>
      </c>
      <c r="M587" s="335">
        <v>109.62</v>
      </c>
      <c r="N587" s="335">
        <f t="shared" si="68"/>
        <v>34.416838379571757</v>
      </c>
      <c r="O587" s="335">
        <f t="shared" si="69"/>
        <v>48.790357330792439</v>
      </c>
      <c r="P587" s="335">
        <f t="shared" si="70"/>
        <v>586.46720763888891</v>
      </c>
      <c r="Q587" s="335">
        <f t="shared" si="71"/>
        <v>249.48757850281038</v>
      </c>
      <c r="R587" s="595">
        <v>585</v>
      </c>
    </row>
    <row r="588" spans="1:18">
      <c r="A588" s="607">
        <v>586</v>
      </c>
      <c r="B588" s="801"/>
      <c r="C588" s="598">
        <v>22</v>
      </c>
      <c r="D588" s="365">
        <v>18</v>
      </c>
      <c r="E588" s="337">
        <v>21.45</v>
      </c>
      <c r="F588" s="336" t="s">
        <v>952</v>
      </c>
      <c r="G588" s="334">
        <v>10</v>
      </c>
      <c r="H588" s="335">
        <v>12</v>
      </c>
      <c r="I588" s="335">
        <v>219.26</v>
      </c>
      <c r="J588" s="335">
        <v>69.14</v>
      </c>
      <c r="K588" s="335">
        <v>47.69</v>
      </c>
      <c r="L588" s="356">
        <v>54.82</v>
      </c>
      <c r="M588" s="335">
        <v>109.62</v>
      </c>
      <c r="N588" s="335">
        <f t="shared" si="68"/>
        <v>35.533012797248219</v>
      </c>
      <c r="O588" s="335">
        <f t="shared" si="69"/>
        <v>50.524006693988319</v>
      </c>
      <c r="P588" s="335">
        <f t="shared" si="70"/>
        <v>579.01389027777782</v>
      </c>
      <c r="Q588" s="335">
        <f t="shared" si="71"/>
        <v>246.92896623076405</v>
      </c>
      <c r="R588" s="595">
        <v>586</v>
      </c>
    </row>
    <row r="589" spans="1:18">
      <c r="A589" s="607">
        <v>587</v>
      </c>
      <c r="B589" s="801"/>
      <c r="C589" s="598">
        <v>23</v>
      </c>
      <c r="D589" s="365">
        <v>18</v>
      </c>
      <c r="E589" s="337">
        <v>21.45</v>
      </c>
      <c r="F589" s="336" t="s">
        <v>953</v>
      </c>
      <c r="G589" s="334">
        <v>12</v>
      </c>
      <c r="H589" s="335">
        <v>14.58</v>
      </c>
      <c r="I589" s="335">
        <v>219.26</v>
      </c>
      <c r="J589" s="335">
        <v>70.63</v>
      </c>
      <c r="K589" s="335">
        <v>49.18</v>
      </c>
      <c r="L589" s="356">
        <v>54.82</v>
      </c>
      <c r="M589" s="335">
        <v>109.62</v>
      </c>
      <c r="N589" s="335">
        <f t="shared" si="68"/>
        <v>37.15555086415953</v>
      </c>
      <c r="O589" s="335">
        <f t="shared" si="69"/>
        <v>53.036763174020628</v>
      </c>
      <c r="P589" s="335">
        <f t="shared" si="70"/>
        <v>591.49191597222216</v>
      </c>
      <c r="Q589" s="335">
        <f t="shared" si="71"/>
        <v>252.53761198344014</v>
      </c>
      <c r="R589" s="595">
        <v>587</v>
      </c>
    </row>
    <row r="590" spans="1:18">
      <c r="A590" s="607">
        <v>588</v>
      </c>
      <c r="B590" s="801"/>
      <c r="C590" s="598">
        <v>24</v>
      </c>
      <c r="D590" s="365">
        <v>18</v>
      </c>
      <c r="E590" s="337">
        <v>21.45</v>
      </c>
      <c r="F590" s="336" t="s">
        <v>954</v>
      </c>
      <c r="G590" s="365">
        <v>15</v>
      </c>
      <c r="H590" s="335">
        <v>17.73</v>
      </c>
      <c r="I590" s="335">
        <v>219.26</v>
      </c>
      <c r="J590" s="335">
        <v>69.900000000000006</v>
      </c>
      <c r="K590" s="337">
        <v>46.45</v>
      </c>
      <c r="L590" s="356">
        <v>54.82</v>
      </c>
      <c r="M590" s="335">
        <v>109.62</v>
      </c>
      <c r="N590" s="335">
        <f t="shared" si="68"/>
        <v>39.33478533066139</v>
      </c>
      <c r="O590" s="335">
        <f t="shared" si="69"/>
        <v>55.696451197969324</v>
      </c>
      <c r="P590" s="335">
        <f t="shared" si="70"/>
        <v>585.37852083333337</v>
      </c>
      <c r="Q590" s="335">
        <f t="shared" si="71"/>
        <v>251.20761318480703</v>
      </c>
      <c r="R590" s="595">
        <v>588</v>
      </c>
    </row>
    <row r="591" spans="1:18">
      <c r="A591" s="607">
        <v>589</v>
      </c>
      <c r="B591" s="801"/>
      <c r="C591" s="598">
        <v>25</v>
      </c>
      <c r="D591" s="365">
        <v>18</v>
      </c>
      <c r="E591" s="337">
        <v>21.45</v>
      </c>
      <c r="F591" s="336" t="s">
        <v>955</v>
      </c>
      <c r="G591" s="365">
        <v>18</v>
      </c>
      <c r="H591" s="335">
        <v>21.45</v>
      </c>
      <c r="I591" s="335">
        <v>219.26</v>
      </c>
      <c r="J591" s="335">
        <v>71.819999999999993</v>
      </c>
      <c r="K591" s="337">
        <v>50.37</v>
      </c>
      <c r="L591" s="356">
        <v>54.82</v>
      </c>
      <c r="M591" s="335">
        <v>109.62</v>
      </c>
      <c r="N591" s="335">
        <f t="shared" si="68"/>
        <v>43.589598068558374</v>
      </c>
      <c r="O591" s="335">
        <f t="shared" si="69"/>
        <v>61.900256312774331</v>
      </c>
      <c r="P591" s="335">
        <f t="shared" si="70"/>
        <v>601.45758749999993</v>
      </c>
      <c r="Q591" s="335">
        <f t="shared" si="71"/>
        <v>259.41253054344861</v>
      </c>
      <c r="R591" s="595">
        <v>589</v>
      </c>
    </row>
    <row r="592" spans="1:18">
      <c r="A592" s="607">
        <v>590</v>
      </c>
      <c r="B592" s="801"/>
      <c r="C592" s="598">
        <v>26</v>
      </c>
      <c r="D592" s="334">
        <v>24</v>
      </c>
      <c r="E592" s="335">
        <v>28.2</v>
      </c>
      <c r="F592" s="336" t="s">
        <v>956</v>
      </c>
      <c r="G592" s="334">
        <v>4</v>
      </c>
      <c r="H592" s="335">
        <v>4.75</v>
      </c>
      <c r="I592" s="335">
        <v>220.33</v>
      </c>
      <c r="J592" s="335">
        <v>75.959999999999994</v>
      </c>
      <c r="K592" s="335">
        <v>47.76</v>
      </c>
      <c r="L592" s="356">
        <v>55.08</v>
      </c>
      <c r="M592" s="335">
        <v>110.17</v>
      </c>
      <c r="N592" s="335">
        <f t="shared" si="68"/>
        <v>58.202367230880903</v>
      </c>
      <c r="O592" s="335">
        <f t="shared" si="69"/>
        <v>80.371002700967892</v>
      </c>
      <c r="P592" s="335">
        <f t="shared" si="70"/>
        <v>639.23241250000001</v>
      </c>
      <c r="Q592" s="335">
        <f t="shared" si="71"/>
        <v>281.74693115049377</v>
      </c>
      <c r="R592" s="595">
        <v>590</v>
      </c>
    </row>
    <row r="593" spans="1:18">
      <c r="A593" s="607">
        <v>591</v>
      </c>
      <c r="B593" s="801"/>
      <c r="C593" s="598">
        <v>27</v>
      </c>
      <c r="D593" s="365">
        <v>24</v>
      </c>
      <c r="E593" s="335">
        <v>28.2</v>
      </c>
      <c r="F593" s="336" t="s">
        <v>957</v>
      </c>
      <c r="G593" s="334">
        <v>6</v>
      </c>
      <c r="H593" s="335">
        <v>7.05</v>
      </c>
      <c r="I593" s="335">
        <v>220.33</v>
      </c>
      <c r="J593" s="335">
        <v>76.510000000000005</v>
      </c>
      <c r="K593" s="335">
        <v>48.31</v>
      </c>
      <c r="L593" s="356">
        <v>55.08</v>
      </c>
      <c r="M593" s="335">
        <v>110.17</v>
      </c>
      <c r="N593" s="335">
        <f t="shared" si="68"/>
        <v>58.870501085159979</v>
      </c>
      <c r="O593" s="335">
        <f t="shared" si="69"/>
        <v>81.278085560699012</v>
      </c>
      <c r="P593" s="335">
        <f t="shared" si="70"/>
        <v>643.8608725694445</v>
      </c>
      <c r="Q593" s="335">
        <f t="shared" si="71"/>
        <v>283.90361588865818</v>
      </c>
      <c r="R593" s="595">
        <v>591</v>
      </c>
    </row>
    <row r="594" spans="1:18">
      <c r="A594" s="607">
        <v>592</v>
      </c>
      <c r="B594" s="801"/>
      <c r="C594" s="598">
        <v>28</v>
      </c>
      <c r="D594" s="365">
        <v>24</v>
      </c>
      <c r="E594" s="335">
        <v>28.2</v>
      </c>
      <c r="F594" s="336" t="s">
        <v>958</v>
      </c>
      <c r="G594" s="334">
        <v>8</v>
      </c>
      <c r="H594" s="335">
        <v>9.4</v>
      </c>
      <c r="I594" s="335">
        <v>220.33</v>
      </c>
      <c r="J594" s="335">
        <v>76.78</v>
      </c>
      <c r="K594" s="335">
        <v>48.58</v>
      </c>
      <c r="L594" s="356">
        <v>55.08</v>
      </c>
      <c r="M594" s="335">
        <v>110.17</v>
      </c>
      <c r="N594" s="335">
        <f t="shared" si="68"/>
        <v>59.810397248385009</v>
      </c>
      <c r="O594" s="335">
        <f t="shared" si="69"/>
        <v>82.575729701051571</v>
      </c>
      <c r="P594" s="335">
        <f t="shared" si="70"/>
        <v>646.13302569444443</v>
      </c>
      <c r="Q594" s="335">
        <f t="shared" si="71"/>
        <v>285.23331564574215</v>
      </c>
      <c r="R594" s="595">
        <v>592</v>
      </c>
    </row>
    <row r="595" spans="1:18">
      <c r="A595" s="607">
        <v>593</v>
      </c>
      <c r="B595" s="801"/>
      <c r="C595" s="598">
        <v>29</v>
      </c>
      <c r="D595" s="365">
        <v>24</v>
      </c>
      <c r="E595" s="335">
        <v>28.2</v>
      </c>
      <c r="F595" s="336" t="s">
        <v>959</v>
      </c>
      <c r="G595" s="334">
        <v>10</v>
      </c>
      <c r="H595" s="335">
        <v>12</v>
      </c>
      <c r="I595" s="335">
        <v>220.33</v>
      </c>
      <c r="J595" s="335">
        <v>75.89</v>
      </c>
      <c r="K595" s="335">
        <v>47.69</v>
      </c>
      <c r="L595" s="356">
        <v>55.08</v>
      </c>
      <c r="M595" s="335">
        <v>110.17</v>
      </c>
      <c r="N595" s="335">
        <f t="shared" si="68"/>
        <v>60.92657166606147</v>
      </c>
      <c r="O595" s="335">
        <f t="shared" si="69"/>
        <v>84.309379064247437</v>
      </c>
      <c r="P595" s="335">
        <f t="shared" si="70"/>
        <v>638.6433357638889</v>
      </c>
      <c r="Q595" s="335">
        <f t="shared" si="71"/>
        <v>282.66015434591804</v>
      </c>
      <c r="R595" s="595">
        <v>593</v>
      </c>
    </row>
    <row r="596" spans="1:18">
      <c r="A596" s="607">
        <v>594</v>
      </c>
      <c r="B596" s="801"/>
      <c r="C596" s="598">
        <v>30</v>
      </c>
      <c r="D596" s="365">
        <v>24</v>
      </c>
      <c r="E596" s="335">
        <v>28.2</v>
      </c>
      <c r="F596" s="336" t="s">
        <v>960</v>
      </c>
      <c r="G596" s="334">
        <v>12</v>
      </c>
      <c r="H596" s="335">
        <v>14.58</v>
      </c>
      <c r="I596" s="335">
        <v>220.33</v>
      </c>
      <c r="J596" s="335">
        <v>77.38</v>
      </c>
      <c r="K596" s="335">
        <v>49.18</v>
      </c>
      <c r="L596" s="356">
        <v>55.08</v>
      </c>
      <c r="M596" s="335">
        <v>110.17</v>
      </c>
      <c r="N596" s="335">
        <f t="shared" si="68"/>
        <v>62.549109732972781</v>
      </c>
      <c r="O596" s="335">
        <f t="shared" si="69"/>
        <v>86.822135544279746</v>
      </c>
      <c r="P596" s="335">
        <f t="shared" si="70"/>
        <v>651.18225486111112</v>
      </c>
      <c r="Q596" s="335">
        <f t="shared" si="71"/>
        <v>288.29315745970536</v>
      </c>
      <c r="R596" s="595">
        <v>594</v>
      </c>
    </row>
    <row r="597" spans="1:18">
      <c r="A597" s="607">
        <v>595</v>
      </c>
      <c r="B597" s="801"/>
      <c r="C597" s="598">
        <v>31</v>
      </c>
      <c r="D597" s="365">
        <v>24</v>
      </c>
      <c r="E597" s="335">
        <v>28.2</v>
      </c>
      <c r="F597" s="336" t="s">
        <v>961</v>
      </c>
      <c r="G597" s="365">
        <v>15</v>
      </c>
      <c r="H597" s="335">
        <v>17.73</v>
      </c>
      <c r="I597" s="335">
        <v>220.33</v>
      </c>
      <c r="J597" s="335">
        <v>74.650000000000006</v>
      </c>
      <c r="K597" s="337">
        <v>46.45</v>
      </c>
      <c r="L597" s="356">
        <v>55.08</v>
      </c>
      <c r="M597" s="335">
        <v>110.17</v>
      </c>
      <c r="N597" s="335">
        <f t="shared" si="68"/>
        <v>64.728344199474634</v>
      </c>
      <c r="O597" s="335">
        <f t="shared" si="69"/>
        <v>89.48182356822845</v>
      </c>
      <c r="P597" s="335">
        <f t="shared" si="70"/>
        <v>628.20826215277782</v>
      </c>
      <c r="Q597" s="335">
        <f t="shared" si="71"/>
        <v>280.21891963329438</v>
      </c>
      <c r="R597" s="595">
        <v>595</v>
      </c>
    </row>
    <row r="598" spans="1:18">
      <c r="A598" s="607">
        <v>596</v>
      </c>
      <c r="B598" s="801"/>
      <c r="C598" s="598">
        <v>32</v>
      </c>
      <c r="D598" s="365">
        <v>24</v>
      </c>
      <c r="E598" s="335">
        <v>28.2</v>
      </c>
      <c r="F598" s="336" t="s">
        <v>962</v>
      </c>
      <c r="G598" s="365">
        <v>18</v>
      </c>
      <c r="H598" s="335">
        <v>21.45</v>
      </c>
      <c r="I598" s="335">
        <v>220.33</v>
      </c>
      <c r="J598" s="335">
        <v>78.569999999999993</v>
      </c>
      <c r="K598" s="337">
        <v>50.37</v>
      </c>
      <c r="L598" s="356">
        <v>55.08</v>
      </c>
      <c r="M598" s="335">
        <v>110.17</v>
      </c>
      <c r="N598" s="335">
        <f t="shared" si="68"/>
        <v>68.983156937371632</v>
      </c>
      <c r="O598" s="335">
        <f t="shared" si="69"/>
        <v>95.685628683033457</v>
      </c>
      <c r="P598" s="335">
        <f t="shared" si="70"/>
        <v>661.19655937499999</v>
      </c>
      <c r="Q598" s="335">
        <f t="shared" si="71"/>
        <v>295.1875292141583</v>
      </c>
      <c r="R598" s="595">
        <v>596</v>
      </c>
    </row>
    <row r="599" spans="1:18">
      <c r="A599" s="607">
        <v>597</v>
      </c>
      <c r="B599" s="801"/>
      <c r="C599" s="598">
        <v>33</v>
      </c>
      <c r="D599" s="365">
        <v>24</v>
      </c>
      <c r="E599" s="335">
        <v>28.2</v>
      </c>
      <c r="F599" s="336" t="s">
        <v>963</v>
      </c>
      <c r="G599" s="365">
        <v>24</v>
      </c>
      <c r="H599" s="335">
        <v>28.2</v>
      </c>
      <c r="I599" s="335">
        <v>220.33</v>
      </c>
      <c r="J599" s="335">
        <v>79.349999999999994</v>
      </c>
      <c r="K599" s="337">
        <v>51.15</v>
      </c>
      <c r="L599" s="356">
        <v>55.08</v>
      </c>
      <c r="M599" s="335">
        <v>110.17</v>
      </c>
      <c r="N599" s="335">
        <f t="shared" si="68"/>
        <v>78.181151178459999</v>
      </c>
      <c r="O599" s="335">
        <f t="shared" si="69"/>
        <v>107.93885184576133</v>
      </c>
      <c r="P599" s="335">
        <f t="shared" si="70"/>
        <v>667.76055729166671</v>
      </c>
      <c r="Q599" s="335">
        <f t="shared" si="71"/>
        <v>302.10983335682215</v>
      </c>
      <c r="R599" s="595">
        <v>597</v>
      </c>
    </row>
    <row r="600" spans="1:18">
      <c r="A600" s="607">
        <v>598</v>
      </c>
      <c r="B600" s="801"/>
      <c r="C600" s="598">
        <v>34</v>
      </c>
      <c r="D600" s="334">
        <v>30</v>
      </c>
      <c r="E600" s="335">
        <v>34.89</v>
      </c>
      <c r="F600" s="336" t="s">
        <v>964</v>
      </c>
      <c r="G600" s="334">
        <v>4</v>
      </c>
      <c r="H600" s="335">
        <v>4.75</v>
      </c>
      <c r="I600" s="335">
        <v>220</v>
      </c>
      <c r="J600" s="335">
        <v>82.65</v>
      </c>
      <c r="K600" s="335">
        <v>47.76</v>
      </c>
      <c r="L600" s="356">
        <v>55</v>
      </c>
      <c r="M600" s="335">
        <v>110</v>
      </c>
      <c r="N600" s="335">
        <f t="shared" si="68"/>
        <v>90.513647673051921</v>
      </c>
      <c r="O600" s="335">
        <f t="shared" si="69"/>
        <v>122.45590551565832</v>
      </c>
      <c r="P600" s="335">
        <f t="shared" si="70"/>
        <v>694.48958333333337</v>
      </c>
      <c r="Q600" s="335">
        <f t="shared" si="71"/>
        <v>319.32711880012198</v>
      </c>
      <c r="R600" s="595">
        <v>598</v>
      </c>
    </row>
    <row r="601" spans="1:18">
      <c r="A601" s="607">
        <v>599</v>
      </c>
      <c r="B601" s="801"/>
      <c r="C601" s="598">
        <v>35</v>
      </c>
      <c r="D601" s="365">
        <v>30</v>
      </c>
      <c r="E601" s="335">
        <v>34.89</v>
      </c>
      <c r="F601" s="336" t="s">
        <v>965</v>
      </c>
      <c r="G601" s="334">
        <v>6</v>
      </c>
      <c r="H601" s="335">
        <v>7.05</v>
      </c>
      <c r="I601" s="335">
        <v>220</v>
      </c>
      <c r="J601" s="335">
        <v>83.2</v>
      </c>
      <c r="K601" s="335">
        <v>48.31</v>
      </c>
      <c r="L601" s="356">
        <v>55</v>
      </c>
      <c r="M601" s="335">
        <v>110</v>
      </c>
      <c r="N601" s="335">
        <f t="shared" si="68"/>
        <v>91.181781527330998</v>
      </c>
      <c r="O601" s="335">
        <f t="shared" si="69"/>
        <v>123.36298837538943</v>
      </c>
      <c r="P601" s="335">
        <f t="shared" si="70"/>
        <v>699.11111111111109</v>
      </c>
      <c r="Q601" s="335">
        <f t="shared" si="71"/>
        <v>321.48103062161965</v>
      </c>
      <c r="R601" s="595">
        <v>599</v>
      </c>
    </row>
    <row r="602" spans="1:18">
      <c r="A602" s="607">
        <v>600</v>
      </c>
      <c r="B602" s="801"/>
      <c r="C602" s="598">
        <v>36</v>
      </c>
      <c r="D602" s="365">
        <v>30</v>
      </c>
      <c r="E602" s="335">
        <v>34.89</v>
      </c>
      <c r="F602" s="336" t="s">
        <v>966</v>
      </c>
      <c r="G602" s="334">
        <v>8</v>
      </c>
      <c r="H602" s="335">
        <v>9.4</v>
      </c>
      <c r="I602" s="335">
        <v>220</v>
      </c>
      <c r="J602" s="335">
        <v>83.47</v>
      </c>
      <c r="K602" s="335">
        <v>48.58</v>
      </c>
      <c r="L602" s="356">
        <v>55</v>
      </c>
      <c r="M602" s="335">
        <v>110</v>
      </c>
      <c r="N602" s="335">
        <f t="shared" si="68"/>
        <v>92.121677690556027</v>
      </c>
      <c r="O602" s="335">
        <f t="shared" si="69"/>
        <v>124.66063251574199</v>
      </c>
      <c r="P602" s="335">
        <f t="shared" si="70"/>
        <v>701.37986111111104</v>
      </c>
      <c r="Q602" s="335">
        <f t="shared" si="71"/>
        <v>322.80936912870368</v>
      </c>
      <c r="R602" s="595">
        <v>600</v>
      </c>
    </row>
    <row r="603" spans="1:18">
      <c r="A603" s="607">
        <v>601</v>
      </c>
      <c r="B603" s="801"/>
      <c r="C603" s="598">
        <v>37</v>
      </c>
      <c r="D603" s="365">
        <v>30</v>
      </c>
      <c r="E603" s="335">
        <v>34.89</v>
      </c>
      <c r="F603" s="336" t="s">
        <v>967</v>
      </c>
      <c r="G603" s="334">
        <v>10</v>
      </c>
      <c r="H603" s="335">
        <v>12</v>
      </c>
      <c r="I603" s="335">
        <v>220</v>
      </c>
      <c r="J603" s="335">
        <v>82.58</v>
      </c>
      <c r="K603" s="335">
        <v>47.69</v>
      </c>
      <c r="L603" s="356">
        <v>55</v>
      </c>
      <c r="M603" s="335">
        <v>110</v>
      </c>
      <c r="N603" s="335">
        <f t="shared" si="68"/>
        <v>93.237852108232488</v>
      </c>
      <c r="O603" s="335">
        <f t="shared" si="69"/>
        <v>126.39428187893786</v>
      </c>
      <c r="P603" s="335">
        <f t="shared" si="70"/>
        <v>693.90138888888885</v>
      </c>
      <c r="Q603" s="335">
        <f t="shared" si="71"/>
        <v>320.24069491221292</v>
      </c>
      <c r="R603" s="595">
        <v>601</v>
      </c>
    </row>
    <row r="604" spans="1:18">
      <c r="A604" s="607">
        <v>602</v>
      </c>
      <c r="B604" s="801"/>
      <c r="C604" s="598">
        <v>38</v>
      </c>
      <c r="D604" s="365">
        <v>30</v>
      </c>
      <c r="E604" s="335">
        <v>34.89</v>
      </c>
      <c r="F604" s="336" t="s">
        <v>968</v>
      </c>
      <c r="G604" s="334">
        <v>12</v>
      </c>
      <c r="H604" s="335">
        <v>14.58</v>
      </c>
      <c r="I604" s="335">
        <v>220</v>
      </c>
      <c r="J604" s="335">
        <v>84.07</v>
      </c>
      <c r="K604" s="335">
        <v>49.18</v>
      </c>
      <c r="L604" s="356">
        <v>55</v>
      </c>
      <c r="M604" s="335">
        <v>110</v>
      </c>
      <c r="N604" s="335">
        <f t="shared" si="68"/>
        <v>94.860390175143806</v>
      </c>
      <c r="O604" s="335">
        <f t="shared" si="69"/>
        <v>128.90703835897017</v>
      </c>
      <c r="P604" s="335">
        <f t="shared" si="70"/>
        <v>706.42152777777767</v>
      </c>
      <c r="Q604" s="335">
        <f t="shared" si="71"/>
        <v>325.86618594266679</v>
      </c>
      <c r="R604" s="595">
        <v>602</v>
      </c>
    </row>
    <row r="605" spans="1:18">
      <c r="A605" s="607">
        <v>603</v>
      </c>
      <c r="B605" s="801"/>
      <c r="C605" s="598">
        <v>39</v>
      </c>
      <c r="D605" s="365">
        <v>30</v>
      </c>
      <c r="E605" s="335">
        <v>34.89</v>
      </c>
      <c r="F605" s="336" t="s">
        <v>969</v>
      </c>
      <c r="G605" s="365">
        <v>15</v>
      </c>
      <c r="H605" s="335">
        <v>17.73</v>
      </c>
      <c r="I605" s="335">
        <v>220</v>
      </c>
      <c r="J605" s="335">
        <v>81.34</v>
      </c>
      <c r="K605" s="337">
        <v>46.45</v>
      </c>
      <c r="L605" s="356">
        <v>55</v>
      </c>
      <c r="M605" s="335">
        <v>110</v>
      </c>
      <c r="N605" s="335">
        <f t="shared" si="68"/>
        <v>97.039624641645659</v>
      </c>
      <c r="O605" s="335">
        <f t="shared" si="69"/>
        <v>131.56672638291886</v>
      </c>
      <c r="P605" s="335">
        <f t="shared" si="70"/>
        <v>683.48194444444448</v>
      </c>
      <c r="Q605" s="335">
        <f t="shared" si="71"/>
        <v>317.80571186625593</v>
      </c>
      <c r="R605" s="595">
        <v>603</v>
      </c>
    </row>
    <row r="606" spans="1:18">
      <c r="A606" s="607">
        <v>604</v>
      </c>
      <c r="B606" s="801"/>
      <c r="C606" s="598">
        <v>40</v>
      </c>
      <c r="D606" s="365">
        <v>30</v>
      </c>
      <c r="E606" s="335">
        <v>34.89</v>
      </c>
      <c r="F606" s="336" t="s">
        <v>970</v>
      </c>
      <c r="G606" s="365">
        <v>18</v>
      </c>
      <c r="H606" s="335">
        <v>21.45</v>
      </c>
      <c r="I606" s="335">
        <v>220</v>
      </c>
      <c r="J606" s="335">
        <v>85.26</v>
      </c>
      <c r="K606" s="337">
        <v>50.37</v>
      </c>
      <c r="L606" s="356">
        <v>55</v>
      </c>
      <c r="M606" s="335">
        <v>110</v>
      </c>
      <c r="N606" s="335">
        <f t="shared" si="68"/>
        <v>101.29443737954264</v>
      </c>
      <c r="O606" s="335">
        <f t="shared" si="69"/>
        <v>137.77053149772388</v>
      </c>
      <c r="P606" s="335">
        <f t="shared" si="70"/>
        <v>716.42083333333346</v>
      </c>
      <c r="Q606" s="335">
        <f t="shared" si="71"/>
        <v>332.75455811378646</v>
      </c>
      <c r="R606" s="595">
        <v>604</v>
      </c>
    </row>
    <row r="607" spans="1:18">
      <c r="A607" s="607">
        <v>605</v>
      </c>
      <c r="B607" s="801"/>
      <c r="C607" s="598">
        <v>41</v>
      </c>
      <c r="D607" s="365">
        <v>30</v>
      </c>
      <c r="E607" s="335">
        <v>34.89</v>
      </c>
      <c r="F607" s="336" t="s">
        <v>971</v>
      </c>
      <c r="G607" s="365">
        <v>24</v>
      </c>
      <c r="H607" s="335">
        <v>28.2</v>
      </c>
      <c r="I607" s="335">
        <v>220</v>
      </c>
      <c r="J607" s="335">
        <v>86.04</v>
      </c>
      <c r="K607" s="337">
        <v>51.15</v>
      </c>
      <c r="L607" s="356">
        <v>55</v>
      </c>
      <c r="M607" s="335">
        <v>110</v>
      </c>
      <c r="N607" s="335">
        <f t="shared" si="68"/>
        <v>110.49243162063101</v>
      </c>
      <c r="O607" s="335">
        <f t="shared" si="69"/>
        <v>150.02375466045174</v>
      </c>
      <c r="P607" s="335">
        <f t="shared" si="70"/>
        <v>722.97500000000002</v>
      </c>
      <c r="Q607" s="335">
        <f t="shared" si="71"/>
        <v>339.67292975645034</v>
      </c>
      <c r="R607" s="595">
        <v>605</v>
      </c>
    </row>
    <row r="608" spans="1:18">
      <c r="A608" s="607">
        <v>606</v>
      </c>
      <c r="B608" s="801"/>
      <c r="C608" s="598">
        <v>42</v>
      </c>
      <c r="D608" s="365">
        <v>30</v>
      </c>
      <c r="E608" s="335">
        <v>34.89</v>
      </c>
      <c r="F608" s="336" t="s">
        <v>972</v>
      </c>
      <c r="G608" s="365">
        <v>30</v>
      </c>
      <c r="H608" s="337">
        <v>34.89</v>
      </c>
      <c r="I608" s="335">
        <v>220</v>
      </c>
      <c r="J608" s="335">
        <v>82.89</v>
      </c>
      <c r="K608" s="337">
        <v>48</v>
      </c>
      <c r="L608" s="356">
        <v>55</v>
      </c>
      <c r="M608" s="335">
        <v>110</v>
      </c>
      <c r="N608" s="335">
        <f t="shared" si="68"/>
        <v>119.44597068336192</v>
      </c>
      <c r="O608" s="335">
        <f t="shared" si="69"/>
        <v>161.55891712122417</v>
      </c>
      <c r="P608" s="335">
        <f t="shared" si="70"/>
        <v>696.50625000000002</v>
      </c>
      <c r="Q608" s="335">
        <f t="shared" si="71"/>
        <v>333.42490383487223</v>
      </c>
      <c r="R608" s="595">
        <v>606</v>
      </c>
    </row>
    <row r="609" spans="1:18">
      <c r="A609" s="607">
        <v>607</v>
      </c>
      <c r="B609" s="801"/>
      <c r="C609" s="598">
        <v>43</v>
      </c>
      <c r="D609" s="334">
        <v>36</v>
      </c>
      <c r="E609" s="337">
        <v>40.9</v>
      </c>
      <c r="F609" s="336" t="s">
        <v>973</v>
      </c>
      <c r="G609" s="334">
        <v>4</v>
      </c>
      <c r="H609" s="335">
        <v>4.75</v>
      </c>
      <c r="I609" s="335">
        <v>220</v>
      </c>
      <c r="J609" s="335">
        <v>88.66</v>
      </c>
      <c r="K609" s="335">
        <v>47.76</v>
      </c>
      <c r="L609" s="356">
        <v>55</v>
      </c>
      <c r="M609" s="335">
        <v>110</v>
      </c>
      <c r="N609" s="335">
        <f t="shared" si="68"/>
        <v>130.11080507767326</v>
      </c>
      <c r="O609" s="335">
        <f t="shared" si="69"/>
        <v>168.00242582822011</v>
      </c>
      <c r="P609" s="335">
        <f t="shared" si="70"/>
        <v>744.99027777777781</v>
      </c>
      <c r="Q609" s="335">
        <f t="shared" si="71"/>
        <v>360.90594585749636</v>
      </c>
      <c r="R609" s="595">
        <v>607</v>
      </c>
    </row>
    <row r="610" spans="1:18">
      <c r="A610" s="607">
        <v>608</v>
      </c>
      <c r="B610" s="801"/>
      <c r="C610" s="598">
        <v>44</v>
      </c>
      <c r="D610" s="365">
        <v>36</v>
      </c>
      <c r="E610" s="337">
        <v>40.9</v>
      </c>
      <c r="F610" s="336" t="s">
        <v>974</v>
      </c>
      <c r="G610" s="334">
        <v>6</v>
      </c>
      <c r="H610" s="335">
        <v>7.05</v>
      </c>
      <c r="I610" s="335">
        <v>220</v>
      </c>
      <c r="J610" s="335">
        <v>89.21</v>
      </c>
      <c r="K610" s="335">
        <v>48.31</v>
      </c>
      <c r="L610" s="356">
        <v>55</v>
      </c>
      <c r="M610" s="335">
        <v>110</v>
      </c>
      <c r="N610" s="335">
        <f t="shared" si="68"/>
        <v>130.77893893195235</v>
      </c>
      <c r="O610" s="335">
        <f t="shared" si="69"/>
        <v>168.90950868795122</v>
      </c>
      <c r="P610" s="335">
        <f t="shared" si="70"/>
        <v>749.61180555555552</v>
      </c>
      <c r="Q610" s="335">
        <f t="shared" si="71"/>
        <v>363.05985767899409</v>
      </c>
      <c r="R610" s="595">
        <v>608</v>
      </c>
    </row>
    <row r="611" spans="1:18">
      <c r="A611" s="607">
        <v>609</v>
      </c>
      <c r="B611" s="801"/>
      <c r="C611" s="598">
        <v>45</v>
      </c>
      <c r="D611" s="365">
        <v>36</v>
      </c>
      <c r="E611" s="337">
        <v>40.9</v>
      </c>
      <c r="F611" s="336" t="s">
        <v>975</v>
      </c>
      <c r="G611" s="334">
        <v>8</v>
      </c>
      <c r="H611" s="335">
        <v>9.4</v>
      </c>
      <c r="I611" s="335">
        <v>220</v>
      </c>
      <c r="J611" s="335">
        <v>89.48</v>
      </c>
      <c r="K611" s="335">
        <v>48.58</v>
      </c>
      <c r="L611" s="356">
        <v>55</v>
      </c>
      <c r="M611" s="335">
        <v>110</v>
      </c>
      <c r="N611" s="335">
        <f t="shared" si="68"/>
        <v>131.71883509517738</v>
      </c>
      <c r="O611" s="335">
        <f t="shared" si="69"/>
        <v>170.20715282830378</v>
      </c>
      <c r="P611" s="335">
        <f t="shared" si="70"/>
        <v>751.88055555555559</v>
      </c>
      <c r="Q611" s="335">
        <f t="shared" si="71"/>
        <v>364.38819618607818</v>
      </c>
      <c r="R611" s="595">
        <v>609</v>
      </c>
    </row>
    <row r="612" spans="1:18">
      <c r="A612" s="607">
        <v>610</v>
      </c>
      <c r="B612" s="801"/>
      <c r="C612" s="598">
        <v>46</v>
      </c>
      <c r="D612" s="365">
        <v>36</v>
      </c>
      <c r="E612" s="337">
        <v>40.9</v>
      </c>
      <c r="F612" s="336" t="s">
        <v>976</v>
      </c>
      <c r="G612" s="334">
        <v>10</v>
      </c>
      <c r="H612" s="335">
        <v>12</v>
      </c>
      <c r="I612" s="335">
        <v>220</v>
      </c>
      <c r="J612" s="335">
        <v>88.59</v>
      </c>
      <c r="K612" s="335">
        <v>47.69</v>
      </c>
      <c r="L612" s="356">
        <v>55</v>
      </c>
      <c r="M612" s="335">
        <v>110</v>
      </c>
      <c r="N612" s="335">
        <f t="shared" si="68"/>
        <v>132.83500951285382</v>
      </c>
      <c r="O612" s="335">
        <f t="shared" si="69"/>
        <v>171.94080219149967</v>
      </c>
      <c r="P612" s="335">
        <f t="shared" si="70"/>
        <v>744.40208333333339</v>
      </c>
      <c r="Q612" s="335">
        <f t="shared" si="71"/>
        <v>361.8195219695873</v>
      </c>
      <c r="R612" s="595">
        <v>610</v>
      </c>
    </row>
    <row r="613" spans="1:18">
      <c r="A613" s="607">
        <v>611</v>
      </c>
      <c r="B613" s="801"/>
      <c r="C613" s="598">
        <v>47</v>
      </c>
      <c r="D613" s="365">
        <v>36</v>
      </c>
      <c r="E613" s="337">
        <v>40.9</v>
      </c>
      <c r="F613" s="336" t="s">
        <v>977</v>
      </c>
      <c r="G613" s="334">
        <v>12</v>
      </c>
      <c r="H613" s="335">
        <v>14.58</v>
      </c>
      <c r="I613" s="335">
        <v>220</v>
      </c>
      <c r="J613" s="335">
        <v>90.08</v>
      </c>
      <c r="K613" s="335">
        <v>49.18</v>
      </c>
      <c r="L613" s="356">
        <v>55</v>
      </c>
      <c r="M613" s="335">
        <v>110</v>
      </c>
      <c r="N613" s="335">
        <f t="shared" si="68"/>
        <v>134.45754757976513</v>
      </c>
      <c r="O613" s="335">
        <f t="shared" si="69"/>
        <v>174.45355867153197</v>
      </c>
      <c r="P613" s="335">
        <f t="shared" si="70"/>
        <v>756.9222222222221</v>
      </c>
      <c r="Q613" s="335">
        <f t="shared" si="71"/>
        <v>367.44501300004117</v>
      </c>
      <c r="R613" s="595">
        <v>611</v>
      </c>
    </row>
    <row r="614" spans="1:18">
      <c r="A614" s="607">
        <v>612</v>
      </c>
      <c r="B614" s="801"/>
      <c r="C614" s="598">
        <v>48</v>
      </c>
      <c r="D614" s="365">
        <v>36</v>
      </c>
      <c r="E614" s="337">
        <v>40.9</v>
      </c>
      <c r="F614" s="336" t="s">
        <v>978</v>
      </c>
      <c r="G614" s="365">
        <v>15</v>
      </c>
      <c r="H614" s="335">
        <v>17.73</v>
      </c>
      <c r="I614" s="335">
        <v>220</v>
      </c>
      <c r="J614" s="335">
        <v>87.35</v>
      </c>
      <c r="K614" s="337">
        <v>46.45</v>
      </c>
      <c r="L614" s="356">
        <v>55</v>
      </c>
      <c r="M614" s="335">
        <v>110</v>
      </c>
      <c r="N614" s="335">
        <f t="shared" si="68"/>
        <v>136.636782046267</v>
      </c>
      <c r="O614" s="335">
        <f t="shared" si="69"/>
        <v>177.11324669548065</v>
      </c>
      <c r="P614" s="335">
        <f t="shared" si="70"/>
        <v>733.98263888888891</v>
      </c>
      <c r="Q614" s="335">
        <f t="shared" si="71"/>
        <v>359.38453892363032</v>
      </c>
      <c r="R614" s="595">
        <v>612</v>
      </c>
    </row>
    <row r="615" spans="1:18">
      <c r="A615" s="607">
        <v>613</v>
      </c>
      <c r="B615" s="801"/>
      <c r="C615" s="598">
        <v>49</v>
      </c>
      <c r="D615" s="365">
        <v>36</v>
      </c>
      <c r="E615" s="337">
        <v>40.9</v>
      </c>
      <c r="F615" s="336" t="s">
        <v>979</v>
      </c>
      <c r="G615" s="365">
        <v>18</v>
      </c>
      <c r="H615" s="335">
        <v>21.45</v>
      </c>
      <c r="I615" s="335">
        <v>220</v>
      </c>
      <c r="J615" s="335">
        <v>91.27</v>
      </c>
      <c r="K615" s="337">
        <v>50.37</v>
      </c>
      <c r="L615" s="356">
        <v>55</v>
      </c>
      <c r="M615" s="335">
        <v>110</v>
      </c>
      <c r="N615" s="335">
        <f t="shared" si="68"/>
        <v>140.891594784164</v>
      </c>
      <c r="O615" s="335">
        <f t="shared" si="69"/>
        <v>183.31705181028568</v>
      </c>
      <c r="P615" s="335">
        <f t="shared" si="70"/>
        <v>766.92152777777767</v>
      </c>
      <c r="Q615" s="335">
        <f t="shared" si="71"/>
        <v>374.33338517116078</v>
      </c>
      <c r="R615" s="595">
        <v>613</v>
      </c>
    </row>
    <row r="616" spans="1:18">
      <c r="A616" s="607">
        <v>614</v>
      </c>
      <c r="B616" s="801"/>
      <c r="C616" s="598">
        <v>50</v>
      </c>
      <c r="D616" s="365">
        <v>36</v>
      </c>
      <c r="E616" s="337">
        <v>40.9</v>
      </c>
      <c r="F616" s="336" t="s">
        <v>980</v>
      </c>
      <c r="G616" s="365">
        <v>24</v>
      </c>
      <c r="H616" s="335">
        <v>28.2</v>
      </c>
      <c r="I616" s="335">
        <v>220</v>
      </c>
      <c r="J616" s="335">
        <v>92.05</v>
      </c>
      <c r="K616" s="337">
        <v>51.15</v>
      </c>
      <c r="L616" s="356">
        <v>55</v>
      </c>
      <c r="M616" s="335">
        <v>110</v>
      </c>
      <c r="N616" s="335">
        <f t="shared" si="68"/>
        <v>150.08958902525234</v>
      </c>
      <c r="O616" s="335">
        <f t="shared" si="69"/>
        <v>195.57027497301357</v>
      </c>
      <c r="P616" s="335">
        <f t="shared" si="70"/>
        <v>773.47569444444446</v>
      </c>
      <c r="Q616" s="335">
        <f t="shared" si="71"/>
        <v>381.25175681382467</v>
      </c>
      <c r="R616" s="595">
        <v>614</v>
      </c>
    </row>
    <row r="617" spans="1:18">
      <c r="A617" s="607">
        <v>615</v>
      </c>
      <c r="B617" s="801"/>
      <c r="C617" s="598">
        <v>51</v>
      </c>
      <c r="D617" s="365">
        <v>36</v>
      </c>
      <c r="E617" s="337">
        <v>40.9</v>
      </c>
      <c r="F617" s="336" t="s">
        <v>981</v>
      </c>
      <c r="G617" s="365">
        <v>30</v>
      </c>
      <c r="H617" s="337">
        <v>34.89</v>
      </c>
      <c r="I617" s="335">
        <v>220</v>
      </c>
      <c r="J617" s="335">
        <v>88.9</v>
      </c>
      <c r="K617" s="337">
        <v>48</v>
      </c>
      <c r="L617" s="356">
        <v>55</v>
      </c>
      <c r="M617" s="335">
        <v>110</v>
      </c>
      <c r="N617" s="335">
        <f t="shared" si="68"/>
        <v>159.04312808798326</v>
      </c>
      <c r="O617" s="335">
        <f t="shared" si="69"/>
        <v>207.10543743378597</v>
      </c>
      <c r="P617" s="335">
        <f t="shared" si="70"/>
        <v>747.00694444444446</v>
      </c>
      <c r="Q617" s="335">
        <f t="shared" si="71"/>
        <v>375.00373089224672</v>
      </c>
      <c r="R617" s="595">
        <v>615</v>
      </c>
    </row>
    <row r="618" spans="1:18">
      <c r="A618" s="607">
        <v>616</v>
      </c>
      <c r="B618" s="801"/>
      <c r="C618" s="598">
        <v>52</v>
      </c>
      <c r="D618" s="365">
        <v>36</v>
      </c>
      <c r="E618" s="337">
        <v>40.9</v>
      </c>
      <c r="F618" s="336" t="s">
        <v>1027</v>
      </c>
      <c r="G618" s="365">
        <v>36</v>
      </c>
      <c r="H618" s="337">
        <v>40.9</v>
      </c>
      <c r="I618" s="335">
        <v>220</v>
      </c>
      <c r="J618" s="335">
        <v>88.9</v>
      </c>
      <c r="K618" s="337">
        <v>48</v>
      </c>
      <c r="L618" s="356">
        <v>55</v>
      </c>
      <c r="M618" s="335">
        <v>110</v>
      </c>
      <c r="N618" s="335">
        <f t="shared" ref="N618" si="72">PI()*D618^2/4*I618/1728+2*PI()*G618^2/4*(K618-12)/1728</f>
        <v>172.00219778404116</v>
      </c>
      <c r="O618" s="335">
        <f t="shared" ref="O618" si="73">PI()*E618^2/4*I618/1728+2*PI()*H618^2/4*(K618-12)/1728</f>
        <v>222.01157135426072</v>
      </c>
      <c r="P618" s="335">
        <f t="shared" ref="P618" si="74">66*I618*J618/1728</f>
        <v>747.00694444444446</v>
      </c>
      <c r="Q618" s="335">
        <f t="shared" ref="Q618" si="75">0.4*(P618-O618)+N618</f>
        <v>382.00034702011465</v>
      </c>
      <c r="R618" s="595">
        <v>616</v>
      </c>
    </row>
    <row r="619" spans="1:18">
      <c r="A619" s="607">
        <v>617</v>
      </c>
      <c r="B619" s="801"/>
      <c r="C619" s="598">
        <v>53</v>
      </c>
      <c r="D619" s="334">
        <v>42</v>
      </c>
      <c r="E619" s="337">
        <v>47.53</v>
      </c>
      <c r="F619" s="336" t="s">
        <v>982</v>
      </c>
      <c r="G619" s="334">
        <v>4</v>
      </c>
      <c r="H619" s="335">
        <v>4.75</v>
      </c>
      <c r="I619" s="335">
        <v>218.67</v>
      </c>
      <c r="J619" s="335">
        <v>95.29</v>
      </c>
      <c r="K619" s="335">
        <v>47.76</v>
      </c>
      <c r="L619" s="356">
        <v>54.67</v>
      </c>
      <c r="M619" s="335">
        <v>109.33</v>
      </c>
      <c r="N619" s="335">
        <f t="shared" si="68"/>
        <v>175.84110401534181</v>
      </c>
      <c r="O619" s="335">
        <f t="shared" si="69"/>
        <v>225.26167612845163</v>
      </c>
      <c r="P619" s="335">
        <f t="shared" si="70"/>
        <v>795.86009479166671</v>
      </c>
      <c r="Q619" s="335">
        <f t="shared" si="71"/>
        <v>404.08047148062781</v>
      </c>
      <c r="R619" s="595">
        <v>617</v>
      </c>
    </row>
    <row r="620" spans="1:18">
      <c r="A620" s="607">
        <v>618</v>
      </c>
      <c r="B620" s="801"/>
      <c r="C620" s="598">
        <v>54</v>
      </c>
      <c r="D620" s="365">
        <v>42</v>
      </c>
      <c r="E620" s="337">
        <v>47.53</v>
      </c>
      <c r="F620" s="336" t="s">
        <v>983</v>
      </c>
      <c r="G620" s="334">
        <v>6</v>
      </c>
      <c r="H620" s="335">
        <v>7.05</v>
      </c>
      <c r="I620" s="335">
        <v>218.67</v>
      </c>
      <c r="J620" s="335">
        <v>95.48</v>
      </c>
      <c r="K620" s="335">
        <v>48.31</v>
      </c>
      <c r="L620" s="356">
        <v>54.67</v>
      </c>
      <c r="M620" s="335">
        <v>109.33</v>
      </c>
      <c r="N620" s="335">
        <f t="shared" si="68"/>
        <v>176.5092378696209</v>
      </c>
      <c r="O620" s="335">
        <f t="shared" si="69"/>
        <v>226.16875898818273</v>
      </c>
      <c r="P620" s="335">
        <f t="shared" si="70"/>
        <v>797.44697083333324</v>
      </c>
      <c r="Q620" s="335">
        <f t="shared" si="71"/>
        <v>405.02052260768113</v>
      </c>
      <c r="R620" s="595">
        <v>618</v>
      </c>
    </row>
    <row r="621" spans="1:18">
      <c r="A621" s="607">
        <v>619</v>
      </c>
      <c r="B621" s="801"/>
      <c r="C621" s="598">
        <v>55</v>
      </c>
      <c r="D621" s="365">
        <v>42</v>
      </c>
      <c r="E621" s="337">
        <v>47.53</v>
      </c>
      <c r="F621" s="336" t="s">
        <v>984</v>
      </c>
      <c r="G621" s="334">
        <v>8</v>
      </c>
      <c r="H621" s="335">
        <v>9.4</v>
      </c>
      <c r="I621" s="335">
        <v>218.67</v>
      </c>
      <c r="J621" s="335">
        <v>96.11</v>
      </c>
      <c r="K621" s="335">
        <v>48.58</v>
      </c>
      <c r="L621" s="356">
        <v>54.67</v>
      </c>
      <c r="M621" s="335">
        <v>109.33</v>
      </c>
      <c r="N621" s="335">
        <f t="shared" si="68"/>
        <v>177.44913403284593</v>
      </c>
      <c r="O621" s="335">
        <f t="shared" si="69"/>
        <v>227.46640312853529</v>
      </c>
      <c r="P621" s="335">
        <f t="shared" si="70"/>
        <v>802.70871770833332</v>
      </c>
      <c r="Q621" s="335">
        <f t="shared" si="71"/>
        <v>407.5460598647652</v>
      </c>
      <c r="R621" s="595">
        <v>619</v>
      </c>
    </row>
    <row r="622" spans="1:18">
      <c r="A622" s="607">
        <v>620</v>
      </c>
      <c r="B622" s="801"/>
      <c r="C622" s="598">
        <v>56</v>
      </c>
      <c r="D622" s="365">
        <v>42</v>
      </c>
      <c r="E622" s="337">
        <v>47.53</v>
      </c>
      <c r="F622" s="336" t="s">
        <v>985</v>
      </c>
      <c r="G622" s="334">
        <v>10</v>
      </c>
      <c r="H622" s="335">
        <v>12</v>
      </c>
      <c r="I622" s="335">
        <v>218.67</v>
      </c>
      <c r="J622" s="335">
        <v>95.22</v>
      </c>
      <c r="K622" s="335">
        <v>47.69</v>
      </c>
      <c r="L622" s="356">
        <v>54.67</v>
      </c>
      <c r="M622" s="335">
        <v>109.33</v>
      </c>
      <c r="N622" s="335">
        <f t="shared" si="68"/>
        <v>178.56530845052237</v>
      </c>
      <c r="O622" s="335">
        <f t="shared" si="69"/>
        <v>229.20005249173119</v>
      </c>
      <c r="P622" s="335">
        <f t="shared" si="70"/>
        <v>795.27545624999993</v>
      </c>
      <c r="Q622" s="335">
        <f t="shared" si="71"/>
        <v>404.99546995382991</v>
      </c>
      <c r="R622" s="595">
        <v>620</v>
      </c>
    </row>
    <row r="623" spans="1:18">
      <c r="A623" s="607">
        <v>621</v>
      </c>
      <c r="B623" s="801"/>
      <c r="C623" s="598">
        <v>57</v>
      </c>
      <c r="D623" s="365">
        <v>42</v>
      </c>
      <c r="E623" s="337">
        <v>47.53</v>
      </c>
      <c r="F623" s="336" t="s">
        <v>986</v>
      </c>
      <c r="G623" s="334">
        <v>12</v>
      </c>
      <c r="H623" s="335">
        <v>14.58</v>
      </c>
      <c r="I623" s="335">
        <v>218.67</v>
      </c>
      <c r="J623" s="335">
        <v>96.71</v>
      </c>
      <c r="K623" s="335">
        <v>49.18</v>
      </c>
      <c r="L623" s="356">
        <v>54.67</v>
      </c>
      <c r="M623" s="335">
        <v>109.33</v>
      </c>
      <c r="N623" s="335">
        <f t="shared" si="68"/>
        <v>180.18784651743368</v>
      </c>
      <c r="O623" s="335">
        <f t="shared" si="69"/>
        <v>231.71280897176348</v>
      </c>
      <c r="P623" s="335">
        <f t="shared" si="70"/>
        <v>807.71990520833333</v>
      </c>
      <c r="Q623" s="335">
        <f t="shared" si="71"/>
        <v>410.59068501206161</v>
      </c>
      <c r="R623" s="595">
        <v>621</v>
      </c>
    </row>
    <row r="624" spans="1:18">
      <c r="A624" s="607">
        <v>622</v>
      </c>
      <c r="B624" s="801"/>
      <c r="C624" s="598">
        <v>58</v>
      </c>
      <c r="D624" s="365">
        <v>42</v>
      </c>
      <c r="E624" s="337">
        <v>47.53</v>
      </c>
      <c r="F624" s="336" t="s">
        <v>987</v>
      </c>
      <c r="G624" s="365">
        <v>15</v>
      </c>
      <c r="H624" s="335">
        <v>17.73</v>
      </c>
      <c r="I624" s="335">
        <v>218.67</v>
      </c>
      <c r="J624" s="335">
        <v>93.98</v>
      </c>
      <c r="K624" s="337">
        <v>46.45</v>
      </c>
      <c r="L624" s="356">
        <v>54.67</v>
      </c>
      <c r="M624" s="335">
        <v>109.33</v>
      </c>
      <c r="N624" s="335">
        <f t="shared" si="68"/>
        <v>182.36708098393555</v>
      </c>
      <c r="O624" s="335">
        <f t="shared" si="69"/>
        <v>234.37249699571217</v>
      </c>
      <c r="P624" s="335">
        <f t="shared" si="70"/>
        <v>784.91900208333334</v>
      </c>
      <c r="Q624" s="335">
        <f t="shared" si="71"/>
        <v>402.58568301898401</v>
      </c>
      <c r="R624" s="595">
        <v>622</v>
      </c>
    </row>
    <row r="625" spans="1:18">
      <c r="A625" s="607">
        <v>623</v>
      </c>
      <c r="B625" s="801"/>
      <c r="C625" s="598">
        <v>59</v>
      </c>
      <c r="D625" s="365">
        <v>42</v>
      </c>
      <c r="E625" s="337">
        <v>47.53</v>
      </c>
      <c r="F625" s="336" t="s">
        <v>988</v>
      </c>
      <c r="G625" s="365">
        <v>18</v>
      </c>
      <c r="H625" s="335">
        <v>21.45</v>
      </c>
      <c r="I625" s="335">
        <v>218.67</v>
      </c>
      <c r="J625" s="335">
        <v>97.9</v>
      </c>
      <c r="K625" s="337">
        <v>50.37</v>
      </c>
      <c r="L625" s="356">
        <v>54.67</v>
      </c>
      <c r="M625" s="335">
        <v>109.33</v>
      </c>
      <c r="N625" s="335">
        <f t="shared" si="68"/>
        <v>186.62189372183255</v>
      </c>
      <c r="O625" s="335">
        <f t="shared" si="69"/>
        <v>240.57630211051719</v>
      </c>
      <c r="P625" s="335">
        <f t="shared" si="70"/>
        <v>817.65876041666661</v>
      </c>
      <c r="Q625" s="335">
        <f t="shared" si="71"/>
        <v>417.45487704429229</v>
      </c>
      <c r="R625" s="595">
        <v>623</v>
      </c>
    </row>
    <row r="626" spans="1:18">
      <c r="A626" s="607">
        <v>624</v>
      </c>
      <c r="B626" s="801"/>
      <c r="C626" s="598">
        <v>60</v>
      </c>
      <c r="D626" s="365">
        <v>42</v>
      </c>
      <c r="E626" s="337">
        <v>47.53</v>
      </c>
      <c r="F626" s="336" t="s">
        <v>989</v>
      </c>
      <c r="G626" s="365">
        <v>24</v>
      </c>
      <c r="H626" s="335">
        <v>28.2</v>
      </c>
      <c r="I626" s="335">
        <v>218.67</v>
      </c>
      <c r="J626" s="335">
        <v>98.68</v>
      </c>
      <c r="K626" s="337">
        <v>51.15</v>
      </c>
      <c r="L626" s="356">
        <v>54.67</v>
      </c>
      <c r="M626" s="335">
        <v>109.33</v>
      </c>
      <c r="N626" s="335">
        <f t="shared" si="68"/>
        <v>195.81988796292092</v>
      </c>
      <c r="O626" s="335">
        <f t="shared" si="69"/>
        <v>252.82952527324505</v>
      </c>
      <c r="P626" s="335">
        <f t="shared" si="70"/>
        <v>824.17330416666664</v>
      </c>
      <c r="Q626" s="335">
        <f t="shared" si="71"/>
        <v>424.35739952028956</v>
      </c>
      <c r="R626" s="595">
        <v>624</v>
      </c>
    </row>
    <row r="627" spans="1:18">
      <c r="A627" s="607">
        <v>625</v>
      </c>
      <c r="B627" s="801"/>
      <c r="C627" s="598">
        <v>61</v>
      </c>
      <c r="D627" s="365">
        <v>42</v>
      </c>
      <c r="E627" s="337">
        <v>47.53</v>
      </c>
      <c r="F627" s="336" t="s">
        <v>990</v>
      </c>
      <c r="G627" s="365">
        <v>30</v>
      </c>
      <c r="H627" s="337">
        <v>34.89</v>
      </c>
      <c r="I627" s="335">
        <v>218.67</v>
      </c>
      <c r="J627" s="335">
        <v>95.53</v>
      </c>
      <c r="K627" s="337">
        <v>48</v>
      </c>
      <c r="L627" s="356">
        <v>54.67</v>
      </c>
      <c r="M627" s="335">
        <v>109.33</v>
      </c>
      <c r="N627" s="335">
        <f t="shared" si="68"/>
        <v>204.77342702565181</v>
      </c>
      <c r="O627" s="335">
        <f t="shared" si="69"/>
        <v>264.36468773401748</v>
      </c>
      <c r="P627" s="335">
        <f t="shared" si="70"/>
        <v>797.86456979166667</v>
      </c>
      <c r="Q627" s="335">
        <f t="shared" si="71"/>
        <v>418.17337984871153</v>
      </c>
      <c r="R627" s="595">
        <v>625</v>
      </c>
    </row>
    <row r="628" spans="1:18">
      <c r="A628" s="607">
        <v>626</v>
      </c>
      <c r="B628" s="801"/>
      <c r="C628" s="598">
        <v>62</v>
      </c>
      <c r="D628" s="365">
        <v>42</v>
      </c>
      <c r="E628" s="337">
        <v>47.53</v>
      </c>
      <c r="F628" s="336" t="s">
        <v>1028</v>
      </c>
      <c r="G628" s="365">
        <v>36</v>
      </c>
      <c r="H628" s="337">
        <v>40.9</v>
      </c>
      <c r="I628" s="335">
        <v>218.67</v>
      </c>
      <c r="J628" s="335">
        <v>95.53</v>
      </c>
      <c r="K628" s="337">
        <v>48</v>
      </c>
      <c r="L628" s="356">
        <v>54.67</v>
      </c>
      <c r="M628" s="335">
        <v>109.33</v>
      </c>
      <c r="N628" s="335">
        <f t="shared" ref="N628:N629" si="76">PI()*D628^2/4*I628/1728+2*PI()*G628^2/4*(K628-12)/1728</f>
        <v>217.73249672170971</v>
      </c>
      <c r="O628" s="335">
        <f t="shared" ref="O628:O629" si="77">PI()*E628^2/4*I628/1728+2*PI()*H628^2/4*(K628-12)/1728</f>
        <v>279.27082165449224</v>
      </c>
      <c r="P628" s="335">
        <f t="shared" ref="P628:P629" si="78">66*I628*J628/1728</f>
        <v>797.86456979166667</v>
      </c>
      <c r="Q628" s="335">
        <f t="shared" ref="Q628:Q629" si="79">0.4*(P628-O628)+N628</f>
        <v>425.16999597657946</v>
      </c>
      <c r="R628" s="595">
        <v>626</v>
      </c>
    </row>
    <row r="629" spans="1:18">
      <c r="A629" s="607">
        <v>627</v>
      </c>
      <c r="B629" s="801"/>
      <c r="C629" s="598">
        <v>63</v>
      </c>
      <c r="D629" s="365">
        <v>42</v>
      </c>
      <c r="E629" s="337">
        <v>47.53</v>
      </c>
      <c r="F629" s="336" t="s">
        <v>1029</v>
      </c>
      <c r="G629" s="365">
        <v>42</v>
      </c>
      <c r="H629" s="337">
        <v>47.53</v>
      </c>
      <c r="I629" s="335">
        <v>218.67</v>
      </c>
      <c r="J629" s="335">
        <v>95.53</v>
      </c>
      <c r="K629" s="337">
        <v>48</v>
      </c>
      <c r="L629" s="356">
        <v>54.67</v>
      </c>
      <c r="M629" s="335">
        <v>109.33</v>
      </c>
      <c r="N629" s="335">
        <f t="shared" si="76"/>
        <v>233.04776090795994</v>
      </c>
      <c r="O629" s="335">
        <f t="shared" si="77"/>
        <v>298.45714649101876</v>
      </c>
      <c r="P629" s="335">
        <f t="shared" si="78"/>
        <v>797.86456979166667</v>
      </c>
      <c r="Q629" s="335">
        <f t="shared" si="79"/>
        <v>432.81073022821909</v>
      </c>
      <c r="R629" s="595">
        <v>627</v>
      </c>
    </row>
    <row r="630" spans="1:18">
      <c r="A630" s="607">
        <v>628</v>
      </c>
      <c r="B630" s="801"/>
      <c r="C630" s="598">
        <v>64</v>
      </c>
      <c r="D630" s="334">
        <v>48</v>
      </c>
      <c r="E630" s="337">
        <v>54.48</v>
      </c>
      <c r="F630" s="336" t="s">
        <v>991</v>
      </c>
      <c r="G630" s="334">
        <v>4</v>
      </c>
      <c r="H630" s="335">
        <v>4.75</v>
      </c>
      <c r="I630" s="335">
        <v>218.67</v>
      </c>
      <c r="J630" s="335">
        <v>102.24</v>
      </c>
      <c r="K630" s="335">
        <v>47.76</v>
      </c>
      <c r="L630" s="356">
        <v>54.67</v>
      </c>
      <c r="M630" s="335">
        <v>109.33</v>
      </c>
      <c r="N630" s="335">
        <f t="shared" si="68"/>
        <v>229.51079663725432</v>
      </c>
      <c r="O630" s="335">
        <f t="shared" si="69"/>
        <v>295.72496343087937</v>
      </c>
      <c r="P630" s="335">
        <f t="shared" si="70"/>
        <v>853.90634999999986</v>
      </c>
      <c r="Q630" s="335">
        <f t="shared" si="71"/>
        <v>452.78335126490254</v>
      </c>
      <c r="R630" s="595">
        <v>628</v>
      </c>
    </row>
    <row r="631" spans="1:18">
      <c r="A631" s="607">
        <v>629</v>
      </c>
      <c r="B631" s="801"/>
      <c r="C631" s="598">
        <v>65</v>
      </c>
      <c r="D631" s="365">
        <v>48</v>
      </c>
      <c r="E631" s="337">
        <v>54.48</v>
      </c>
      <c r="F631" s="336" t="s">
        <v>992</v>
      </c>
      <c r="G631" s="334">
        <v>6</v>
      </c>
      <c r="H631" s="335">
        <v>7.05</v>
      </c>
      <c r="I631" s="335">
        <v>218.67</v>
      </c>
      <c r="J631" s="335">
        <v>102.79</v>
      </c>
      <c r="K631" s="335">
        <v>48.31</v>
      </c>
      <c r="L631" s="356">
        <v>54.67</v>
      </c>
      <c r="M631" s="335">
        <v>109.33</v>
      </c>
      <c r="N631" s="335">
        <f t="shared" si="68"/>
        <v>230.17893049153341</v>
      </c>
      <c r="O631" s="335">
        <f t="shared" si="69"/>
        <v>296.6320462906105</v>
      </c>
      <c r="P631" s="335">
        <f t="shared" si="70"/>
        <v>858.49993854166667</v>
      </c>
      <c r="Q631" s="335">
        <f t="shared" si="71"/>
        <v>454.92608739195589</v>
      </c>
      <c r="R631" s="595">
        <v>629</v>
      </c>
    </row>
    <row r="632" spans="1:18">
      <c r="A632" s="607">
        <v>630</v>
      </c>
      <c r="B632" s="801"/>
      <c r="C632" s="598">
        <v>66</v>
      </c>
      <c r="D632" s="365">
        <v>48</v>
      </c>
      <c r="E632" s="337">
        <v>54.48</v>
      </c>
      <c r="F632" s="336" t="s">
        <v>993</v>
      </c>
      <c r="G632" s="334">
        <v>8</v>
      </c>
      <c r="H632" s="335">
        <v>9.4</v>
      </c>
      <c r="I632" s="335">
        <v>218.67</v>
      </c>
      <c r="J632" s="335">
        <v>103.06</v>
      </c>
      <c r="K632" s="335">
        <v>48.58</v>
      </c>
      <c r="L632" s="356">
        <v>54.67</v>
      </c>
      <c r="M632" s="335">
        <v>109.33</v>
      </c>
      <c r="N632" s="335">
        <f t="shared" si="68"/>
        <v>231.11882665475844</v>
      </c>
      <c r="O632" s="335">
        <f t="shared" si="69"/>
        <v>297.92969043096303</v>
      </c>
      <c r="P632" s="335">
        <f t="shared" si="70"/>
        <v>860.7549729166667</v>
      </c>
      <c r="Q632" s="335">
        <f t="shared" si="71"/>
        <v>456.24893964903993</v>
      </c>
      <c r="R632" s="595">
        <v>630</v>
      </c>
    </row>
    <row r="633" spans="1:18">
      <c r="A633" s="607">
        <v>631</v>
      </c>
      <c r="B633" s="801"/>
      <c r="C633" s="598">
        <v>67</v>
      </c>
      <c r="D633" s="365">
        <v>48</v>
      </c>
      <c r="E633" s="337">
        <v>54.48</v>
      </c>
      <c r="F633" s="336" t="s">
        <v>994</v>
      </c>
      <c r="G633" s="334">
        <v>10</v>
      </c>
      <c r="H633" s="335">
        <v>12</v>
      </c>
      <c r="I633" s="335">
        <v>218.67</v>
      </c>
      <c r="J633" s="335">
        <v>102.17</v>
      </c>
      <c r="K633" s="335">
        <v>47.69</v>
      </c>
      <c r="L633" s="356">
        <v>54.67</v>
      </c>
      <c r="M633" s="335">
        <v>109.33</v>
      </c>
      <c r="N633" s="335">
        <f t="shared" si="68"/>
        <v>232.23500107243487</v>
      </c>
      <c r="O633" s="335">
        <f t="shared" si="69"/>
        <v>299.6633397941589</v>
      </c>
      <c r="P633" s="335">
        <f t="shared" si="70"/>
        <v>853.32171145833331</v>
      </c>
      <c r="Q633" s="335">
        <f t="shared" si="71"/>
        <v>453.69834973810464</v>
      </c>
      <c r="R633" s="595">
        <v>631</v>
      </c>
    </row>
    <row r="634" spans="1:18">
      <c r="A634" s="607">
        <v>632</v>
      </c>
      <c r="B634" s="801"/>
      <c r="C634" s="598">
        <v>68</v>
      </c>
      <c r="D634" s="365">
        <v>48</v>
      </c>
      <c r="E634" s="337">
        <v>54.48</v>
      </c>
      <c r="F634" s="336" t="s">
        <v>995</v>
      </c>
      <c r="G634" s="334">
        <v>12</v>
      </c>
      <c r="H634" s="335">
        <v>14.58</v>
      </c>
      <c r="I634" s="335">
        <v>218.67</v>
      </c>
      <c r="J634" s="335">
        <v>103.66</v>
      </c>
      <c r="K634" s="335">
        <v>49.18</v>
      </c>
      <c r="L634" s="356">
        <v>54.67</v>
      </c>
      <c r="M634" s="335">
        <v>109.33</v>
      </c>
      <c r="N634" s="335">
        <f t="shared" si="68"/>
        <v>233.85753913934619</v>
      </c>
      <c r="O634" s="335">
        <f t="shared" si="69"/>
        <v>302.17609627419125</v>
      </c>
      <c r="P634" s="335">
        <f t="shared" si="70"/>
        <v>865.76616041666659</v>
      </c>
      <c r="Q634" s="335">
        <f t="shared" si="71"/>
        <v>459.29356479633634</v>
      </c>
      <c r="R634" s="595">
        <v>632</v>
      </c>
    </row>
    <row r="635" spans="1:18">
      <c r="A635" s="607">
        <v>633</v>
      </c>
      <c r="B635" s="801"/>
      <c r="C635" s="598">
        <v>69</v>
      </c>
      <c r="D635" s="365">
        <v>48</v>
      </c>
      <c r="E635" s="337">
        <v>54.48</v>
      </c>
      <c r="F635" s="336" t="s">
        <v>996</v>
      </c>
      <c r="G635" s="365">
        <v>15</v>
      </c>
      <c r="H635" s="335">
        <v>17.73</v>
      </c>
      <c r="I635" s="335">
        <v>218.67</v>
      </c>
      <c r="J635" s="335">
        <v>100.93</v>
      </c>
      <c r="K635" s="337">
        <v>46.45</v>
      </c>
      <c r="L635" s="356">
        <v>54.67</v>
      </c>
      <c r="M635" s="335">
        <v>109.33</v>
      </c>
      <c r="N635" s="335">
        <f t="shared" ref="N635:N651" si="80">PI()*D635^2/4*I635/1728+2*PI()*G635^2/4*(K635-12)/1728</f>
        <v>236.03677360584805</v>
      </c>
      <c r="O635" s="335">
        <f t="shared" ref="O635:O651" si="81">PI()*E635^2/4*I635/1728+2*PI()*H635^2/4*(K635-12)/1728</f>
        <v>304.83578429813991</v>
      </c>
      <c r="P635" s="335">
        <f t="shared" ref="P635:P651" si="82">66*I635*J635/1728</f>
        <v>842.96525729166672</v>
      </c>
      <c r="Q635" s="335">
        <f t="shared" ref="Q635:Q651" si="83">0.4*(P635-O635)+N635</f>
        <v>451.2885628032588</v>
      </c>
      <c r="R635" s="595">
        <v>633</v>
      </c>
    </row>
    <row r="636" spans="1:18">
      <c r="A636" s="607">
        <v>634</v>
      </c>
      <c r="B636" s="801"/>
      <c r="C636" s="598">
        <v>70</v>
      </c>
      <c r="D636" s="365">
        <v>48</v>
      </c>
      <c r="E636" s="337">
        <v>54.48</v>
      </c>
      <c r="F636" s="336" t="s">
        <v>997</v>
      </c>
      <c r="G636" s="365">
        <v>18</v>
      </c>
      <c r="H636" s="335">
        <v>21.45</v>
      </c>
      <c r="I636" s="335">
        <v>218.67</v>
      </c>
      <c r="J636" s="335">
        <v>104.85</v>
      </c>
      <c r="K636" s="337">
        <v>50.37</v>
      </c>
      <c r="L636" s="356">
        <v>54.67</v>
      </c>
      <c r="M636" s="335">
        <v>109.33</v>
      </c>
      <c r="N636" s="335">
        <f t="shared" si="80"/>
        <v>240.29158634374505</v>
      </c>
      <c r="O636" s="335">
        <f t="shared" si="81"/>
        <v>311.03958941294491</v>
      </c>
      <c r="P636" s="335">
        <f t="shared" si="82"/>
        <v>875.70501562499987</v>
      </c>
      <c r="Q636" s="335">
        <f t="shared" si="83"/>
        <v>466.15775682856702</v>
      </c>
      <c r="R636" s="595">
        <v>634</v>
      </c>
    </row>
    <row r="637" spans="1:18">
      <c r="A637" s="607">
        <v>635</v>
      </c>
      <c r="B637" s="801"/>
      <c r="C637" s="598">
        <v>71</v>
      </c>
      <c r="D637" s="365">
        <v>48</v>
      </c>
      <c r="E637" s="337">
        <v>54.48</v>
      </c>
      <c r="F637" s="336" t="s">
        <v>998</v>
      </c>
      <c r="G637" s="365">
        <v>24</v>
      </c>
      <c r="H637" s="335">
        <v>28.2</v>
      </c>
      <c r="I637" s="335">
        <v>218.67</v>
      </c>
      <c r="J637" s="335">
        <v>105.63</v>
      </c>
      <c r="K637" s="337">
        <v>51.15</v>
      </c>
      <c r="L637" s="356">
        <v>54.67</v>
      </c>
      <c r="M637" s="335">
        <v>109.33</v>
      </c>
      <c r="N637" s="335">
        <f t="shared" si="80"/>
        <v>249.48958058483339</v>
      </c>
      <c r="O637" s="335">
        <f t="shared" si="81"/>
        <v>323.29281257567283</v>
      </c>
      <c r="P637" s="335">
        <f t="shared" si="82"/>
        <v>882.21955937500002</v>
      </c>
      <c r="Q637" s="335">
        <f t="shared" si="83"/>
        <v>473.06027930456429</v>
      </c>
      <c r="R637" s="595">
        <v>635</v>
      </c>
    </row>
    <row r="638" spans="1:18">
      <c r="A638" s="607">
        <v>636</v>
      </c>
      <c r="B638" s="801"/>
      <c r="C638" s="598">
        <v>72</v>
      </c>
      <c r="D638" s="365">
        <v>48</v>
      </c>
      <c r="E638" s="337">
        <v>54.48</v>
      </c>
      <c r="F638" s="336" t="s">
        <v>999</v>
      </c>
      <c r="G638" s="365">
        <v>30</v>
      </c>
      <c r="H638" s="337">
        <v>34.89</v>
      </c>
      <c r="I638" s="335">
        <v>218.67</v>
      </c>
      <c r="J638" s="335">
        <v>102.48</v>
      </c>
      <c r="K638" s="337">
        <v>48</v>
      </c>
      <c r="L638" s="356">
        <v>54.67</v>
      </c>
      <c r="M638" s="335">
        <v>109.33</v>
      </c>
      <c r="N638" s="335">
        <f t="shared" si="80"/>
        <v>258.44311964756434</v>
      </c>
      <c r="O638" s="335">
        <f t="shared" si="81"/>
        <v>334.8279750364452</v>
      </c>
      <c r="P638" s="335">
        <f t="shared" si="82"/>
        <v>855.91082499999993</v>
      </c>
      <c r="Q638" s="335">
        <f t="shared" si="83"/>
        <v>466.87625963298626</v>
      </c>
      <c r="R638" s="595">
        <v>636</v>
      </c>
    </row>
    <row r="639" spans="1:18">
      <c r="A639" s="607">
        <v>637</v>
      </c>
      <c r="B639" s="801"/>
      <c r="C639" s="598">
        <v>73</v>
      </c>
      <c r="D639" s="365">
        <v>48</v>
      </c>
      <c r="E639" s="337">
        <v>54.48</v>
      </c>
      <c r="F639" s="336" t="s">
        <v>1030</v>
      </c>
      <c r="G639" s="365">
        <v>36</v>
      </c>
      <c r="H639" s="337">
        <v>40.9</v>
      </c>
      <c r="I639" s="335">
        <v>218.67</v>
      </c>
      <c r="J639" s="335">
        <v>102.48</v>
      </c>
      <c r="K639" s="337">
        <v>48</v>
      </c>
      <c r="L639" s="356">
        <v>54.67</v>
      </c>
      <c r="M639" s="335">
        <v>109.33</v>
      </c>
      <c r="N639" s="335">
        <f t="shared" si="80"/>
        <v>271.40218934362224</v>
      </c>
      <c r="O639" s="335">
        <f t="shared" si="81"/>
        <v>349.73410895692001</v>
      </c>
      <c r="P639" s="335">
        <f t="shared" si="82"/>
        <v>855.91082499999993</v>
      </c>
      <c r="Q639" s="335">
        <f t="shared" si="83"/>
        <v>473.87287576085419</v>
      </c>
      <c r="R639" s="595">
        <v>637</v>
      </c>
    </row>
    <row r="640" spans="1:18">
      <c r="A640" s="607">
        <v>638</v>
      </c>
      <c r="B640" s="801"/>
      <c r="C640" s="598">
        <v>74</v>
      </c>
      <c r="D640" s="365">
        <v>48</v>
      </c>
      <c r="E640" s="337">
        <v>54.48</v>
      </c>
      <c r="F640" s="336" t="s">
        <v>1031</v>
      </c>
      <c r="G640" s="365">
        <v>42</v>
      </c>
      <c r="H640" s="337">
        <v>47.53</v>
      </c>
      <c r="I640" s="335">
        <v>218.67</v>
      </c>
      <c r="J640" s="335">
        <v>102.48</v>
      </c>
      <c r="K640" s="337">
        <v>48</v>
      </c>
      <c r="L640" s="356">
        <v>54.67</v>
      </c>
      <c r="M640" s="335">
        <v>109.33</v>
      </c>
      <c r="N640" s="335">
        <f t="shared" si="80"/>
        <v>286.71745352987244</v>
      </c>
      <c r="O640" s="335">
        <f t="shared" si="81"/>
        <v>368.92043379344653</v>
      </c>
      <c r="P640" s="335">
        <f t="shared" si="82"/>
        <v>855.91082499999993</v>
      </c>
      <c r="Q640" s="335">
        <f t="shared" si="83"/>
        <v>481.51361001249381</v>
      </c>
      <c r="R640" s="595">
        <v>638</v>
      </c>
    </row>
    <row r="641" spans="1:18">
      <c r="A641" s="607">
        <v>639</v>
      </c>
      <c r="B641" s="801"/>
      <c r="C641" s="598">
        <v>75</v>
      </c>
      <c r="D641" s="334">
        <v>60</v>
      </c>
      <c r="E641" s="337">
        <v>66.849999999999994</v>
      </c>
      <c r="F641" s="336" t="s">
        <v>1000</v>
      </c>
      <c r="G641" s="334">
        <v>4</v>
      </c>
      <c r="H641" s="335">
        <v>4.75</v>
      </c>
      <c r="I641" s="335">
        <v>216</v>
      </c>
      <c r="J641" s="335">
        <v>114.61</v>
      </c>
      <c r="K641" s="335">
        <v>47.76</v>
      </c>
      <c r="L641" s="356">
        <v>54</v>
      </c>
      <c r="M641" s="335">
        <v>108</v>
      </c>
      <c r="N641" s="335">
        <f t="shared" si="80"/>
        <v>353.94928164594603</v>
      </c>
      <c r="O641" s="335">
        <f t="shared" si="81"/>
        <v>439.46887419518788</v>
      </c>
      <c r="P641" s="335">
        <f t="shared" si="82"/>
        <v>945.53249999999991</v>
      </c>
      <c r="Q641" s="335">
        <f t="shared" si="83"/>
        <v>556.37473196787084</v>
      </c>
      <c r="R641" s="595">
        <v>639</v>
      </c>
    </row>
    <row r="642" spans="1:18">
      <c r="A642" s="607">
        <v>640</v>
      </c>
      <c r="B642" s="801"/>
      <c r="C642" s="598">
        <v>76</v>
      </c>
      <c r="D642" s="365">
        <v>60</v>
      </c>
      <c r="E642" s="337">
        <v>66.849999999999994</v>
      </c>
      <c r="F642" s="336" t="s">
        <v>1001</v>
      </c>
      <c r="G642" s="334">
        <v>6</v>
      </c>
      <c r="H642" s="335">
        <v>7.05</v>
      </c>
      <c r="I642" s="335">
        <v>216</v>
      </c>
      <c r="J642" s="335">
        <v>115.16</v>
      </c>
      <c r="K642" s="335">
        <v>48.31</v>
      </c>
      <c r="L642" s="356">
        <v>54</v>
      </c>
      <c r="M642" s="335">
        <v>108</v>
      </c>
      <c r="N642" s="335">
        <f t="shared" si="80"/>
        <v>354.61741550022509</v>
      </c>
      <c r="O642" s="335">
        <f t="shared" si="81"/>
        <v>440.37595705491901</v>
      </c>
      <c r="P642" s="335">
        <f t="shared" si="82"/>
        <v>950.06999999999994</v>
      </c>
      <c r="Q642" s="335">
        <f t="shared" si="83"/>
        <v>558.49503267825753</v>
      </c>
      <c r="R642" s="595">
        <v>640</v>
      </c>
    </row>
    <row r="643" spans="1:18">
      <c r="A643" s="607">
        <v>641</v>
      </c>
      <c r="B643" s="801"/>
      <c r="C643" s="598">
        <v>77</v>
      </c>
      <c r="D643" s="365">
        <v>60</v>
      </c>
      <c r="E643" s="337">
        <v>66.849999999999994</v>
      </c>
      <c r="F643" s="336" t="s">
        <v>1002</v>
      </c>
      <c r="G643" s="334">
        <v>8</v>
      </c>
      <c r="H643" s="335">
        <v>9.4</v>
      </c>
      <c r="I643" s="335">
        <v>216</v>
      </c>
      <c r="J643" s="335">
        <v>115.43</v>
      </c>
      <c r="K643" s="335">
        <v>48.58</v>
      </c>
      <c r="L643" s="356">
        <v>54</v>
      </c>
      <c r="M643" s="335">
        <v>108</v>
      </c>
      <c r="N643" s="335">
        <f t="shared" si="80"/>
        <v>355.55731166345015</v>
      </c>
      <c r="O643" s="335">
        <f t="shared" si="81"/>
        <v>441.67360119527154</v>
      </c>
      <c r="P643" s="335">
        <f t="shared" si="82"/>
        <v>952.29750000000001</v>
      </c>
      <c r="Q643" s="335">
        <f t="shared" si="83"/>
        <v>559.80687118534161</v>
      </c>
      <c r="R643" s="595">
        <v>641</v>
      </c>
    </row>
    <row r="644" spans="1:18">
      <c r="A644" s="607">
        <v>642</v>
      </c>
      <c r="B644" s="801"/>
      <c r="C644" s="598">
        <v>78</v>
      </c>
      <c r="D644" s="365">
        <v>60</v>
      </c>
      <c r="E644" s="337">
        <v>66.849999999999994</v>
      </c>
      <c r="F644" s="336" t="s">
        <v>1003</v>
      </c>
      <c r="G644" s="334">
        <v>10</v>
      </c>
      <c r="H644" s="335">
        <v>12</v>
      </c>
      <c r="I644" s="335">
        <v>216</v>
      </c>
      <c r="J644" s="335">
        <v>114.54</v>
      </c>
      <c r="K644" s="335">
        <v>47.69</v>
      </c>
      <c r="L644" s="356">
        <v>54</v>
      </c>
      <c r="M644" s="335">
        <v>108</v>
      </c>
      <c r="N644" s="335">
        <f t="shared" si="80"/>
        <v>356.67348608112661</v>
      </c>
      <c r="O644" s="335">
        <f t="shared" si="81"/>
        <v>443.40725055846741</v>
      </c>
      <c r="P644" s="335">
        <f t="shared" si="82"/>
        <v>944.95500000000004</v>
      </c>
      <c r="Q644" s="335">
        <f t="shared" si="83"/>
        <v>557.29258585773971</v>
      </c>
      <c r="R644" s="595">
        <v>642</v>
      </c>
    </row>
    <row r="645" spans="1:18">
      <c r="A645" s="607">
        <v>643</v>
      </c>
      <c r="B645" s="801"/>
      <c r="C645" s="598">
        <v>79</v>
      </c>
      <c r="D645" s="365">
        <v>60</v>
      </c>
      <c r="E645" s="337">
        <v>66.849999999999994</v>
      </c>
      <c r="F645" s="336" t="s">
        <v>1004</v>
      </c>
      <c r="G645" s="334">
        <v>12</v>
      </c>
      <c r="H645" s="335">
        <v>14.58</v>
      </c>
      <c r="I645" s="335">
        <v>216</v>
      </c>
      <c r="J645" s="335">
        <v>116.03</v>
      </c>
      <c r="K645" s="335">
        <v>49.18</v>
      </c>
      <c r="L645" s="356">
        <v>54</v>
      </c>
      <c r="M645" s="335">
        <v>108</v>
      </c>
      <c r="N645" s="335">
        <f t="shared" si="80"/>
        <v>358.29602414803793</v>
      </c>
      <c r="O645" s="335">
        <f t="shared" si="81"/>
        <v>445.92000703849976</v>
      </c>
      <c r="P645" s="335">
        <f t="shared" si="82"/>
        <v>957.24749999999995</v>
      </c>
      <c r="Q645" s="335">
        <f t="shared" si="83"/>
        <v>562.82702133263797</v>
      </c>
      <c r="R645" s="595">
        <v>643</v>
      </c>
    </row>
    <row r="646" spans="1:18">
      <c r="A646" s="607">
        <v>644</v>
      </c>
      <c r="B646" s="801"/>
      <c r="C646" s="598">
        <v>80</v>
      </c>
      <c r="D646" s="365">
        <v>60</v>
      </c>
      <c r="E646" s="337">
        <v>66.849999999999994</v>
      </c>
      <c r="F646" s="336" t="s">
        <v>1005</v>
      </c>
      <c r="G646" s="365">
        <v>15</v>
      </c>
      <c r="H646" s="335">
        <v>17.73</v>
      </c>
      <c r="I646" s="335">
        <v>216</v>
      </c>
      <c r="J646" s="335">
        <v>113.3</v>
      </c>
      <c r="K646" s="337">
        <v>46.45</v>
      </c>
      <c r="L646" s="356">
        <v>54</v>
      </c>
      <c r="M646" s="335">
        <v>108</v>
      </c>
      <c r="N646" s="335">
        <f t="shared" si="80"/>
        <v>360.47525861453977</v>
      </c>
      <c r="O646" s="335">
        <f t="shared" si="81"/>
        <v>448.57969506244842</v>
      </c>
      <c r="P646" s="335">
        <f t="shared" si="82"/>
        <v>934.72500000000002</v>
      </c>
      <c r="Q646" s="335">
        <f t="shared" si="83"/>
        <v>554.93338058956044</v>
      </c>
      <c r="R646" s="595">
        <v>644</v>
      </c>
    </row>
    <row r="647" spans="1:18">
      <c r="A647" s="607">
        <v>645</v>
      </c>
      <c r="B647" s="801"/>
      <c r="C647" s="598">
        <v>81</v>
      </c>
      <c r="D647" s="365">
        <v>60</v>
      </c>
      <c r="E647" s="337">
        <v>66.849999999999994</v>
      </c>
      <c r="F647" s="336" t="s">
        <v>1006</v>
      </c>
      <c r="G647" s="365">
        <v>18</v>
      </c>
      <c r="H647" s="335">
        <v>21.45</v>
      </c>
      <c r="I647" s="335">
        <v>216</v>
      </c>
      <c r="J647" s="335">
        <v>117.22</v>
      </c>
      <c r="K647" s="337">
        <v>50.37</v>
      </c>
      <c r="L647" s="356">
        <v>54</v>
      </c>
      <c r="M647" s="335">
        <v>108</v>
      </c>
      <c r="N647" s="335">
        <f t="shared" si="80"/>
        <v>364.73007135243677</v>
      </c>
      <c r="O647" s="335">
        <f t="shared" si="81"/>
        <v>454.78350017725342</v>
      </c>
      <c r="P647" s="335">
        <f t="shared" si="82"/>
        <v>967.06500000000005</v>
      </c>
      <c r="Q647" s="335">
        <f t="shared" si="83"/>
        <v>569.6426712815354</v>
      </c>
      <c r="R647" s="595">
        <v>645</v>
      </c>
    </row>
    <row r="648" spans="1:18">
      <c r="A648" s="607">
        <v>646</v>
      </c>
      <c r="B648" s="801"/>
      <c r="C648" s="598">
        <v>82</v>
      </c>
      <c r="D648" s="365">
        <v>60</v>
      </c>
      <c r="E648" s="337">
        <v>66.849999999999994</v>
      </c>
      <c r="F648" s="336" t="s">
        <v>1007</v>
      </c>
      <c r="G648" s="365">
        <v>24</v>
      </c>
      <c r="H648" s="335">
        <v>28.2</v>
      </c>
      <c r="I648" s="335">
        <v>216</v>
      </c>
      <c r="J648" s="335">
        <v>118</v>
      </c>
      <c r="K648" s="337">
        <v>51.15</v>
      </c>
      <c r="L648" s="356">
        <v>54</v>
      </c>
      <c r="M648" s="335">
        <v>108</v>
      </c>
      <c r="N648" s="335">
        <f t="shared" si="80"/>
        <v>373.9280655935251</v>
      </c>
      <c r="O648" s="335">
        <f t="shared" si="81"/>
        <v>467.03672333998134</v>
      </c>
      <c r="P648" s="335">
        <f t="shared" si="82"/>
        <v>973.5</v>
      </c>
      <c r="Q648" s="335">
        <f t="shared" si="83"/>
        <v>576.51337625753263</v>
      </c>
      <c r="R648" s="595">
        <v>646</v>
      </c>
    </row>
    <row r="649" spans="1:18">
      <c r="A649" s="607">
        <v>647</v>
      </c>
      <c r="B649" s="801"/>
      <c r="C649" s="598">
        <v>83</v>
      </c>
      <c r="D649" s="365">
        <v>60</v>
      </c>
      <c r="E649" s="337">
        <v>66.849999999999994</v>
      </c>
      <c r="F649" s="336" t="s">
        <v>1008</v>
      </c>
      <c r="G649" s="365">
        <v>30</v>
      </c>
      <c r="H649" s="337">
        <v>34.89</v>
      </c>
      <c r="I649" s="335">
        <v>216</v>
      </c>
      <c r="J649" s="335">
        <v>114.85</v>
      </c>
      <c r="K649" s="337">
        <v>48</v>
      </c>
      <c r="L649" s="356">
        <v>54</v>
      </c>
      <c r="M649" s="335">
        <v>108</v>
      </c>
      <c r="N649" s="335">
        <f t="shared" si="80"/>
        <v>382.88160465625606</v>
      </c>
      <c r="O649" s="335">
        <f t="shared" si="81"/>
        <v>478.57188580075376</v>
      </c>
      <c r="P649" s="335">
        <f t="shared" si="82"/>
        <v>947.51249999999993</v>
      </c>
      <c r="Q649" s="335">
        <f t="shared" si="83"/>
        <v>570.4578503359545</v>
      </c>
      <c r="R649" s="595">
        <v>647</v>
      </c>
    </row>
    <row r="650" spans="1:18">
      <c r="A650" s="607">
        <v>648</v>
      </c>
      <c r="B650" s="606"/>
      <c r="C650" s="598">
        <v>84</v>
      </c>
      <c r="D650" s="365">
        <v>60</v>
      </c>
      <c r="E650" s="337">
        <v>66.849999999999994</v>
      </c>
      <c r="F650" s="336" t="s">
        <v>1032</v>
      </c>
      <c r="G650" s="365">
        <v>36</v>
      </c>
      <c r="H650" s="337">
        <v>40.9</v>
      </c>
      <c r="I650" s="335">
        <v>216</v>
      </c>
      <c r="J650" s="335">
        <v>114.85</v>
      </c>
      <c r="K650" s="337">
        <v>48</v>
      </c>
      <c r="L650" s="356">
        <v>54</v>
      </c>
      <c r="M650" s="335">
        <v>108</v>
      </c>
      <c r="N650" s="335">
        <f t="shared" si="80"/>
        <v>395.84067435231395</v>
      </c>
      <c r="O650" s="335">
        <f t="shared" si="81"/>
        <v>493.47801972122852</v>
      </c>
      <c r="P650" s="335">
        <f t="shared" si="82"/>
        <v>947.51249999999993</v>
      </c>
      <c r="Q650" s="335">
        <f t="shared" si="83"/>
        <v>577.45446646382254</v>
      </c>
      <c r="R650" s="595">
        <v>648</v>
      </c>
    </row>
    <row r="651" spans="1:18" ht="15.75" thickBot="1">
      <c r="A651" s="607">
        <v>649</v>
      </c>
      <c r="B651" s="606"/>
      <c r="C651" s="599">
        <v>85</v>
      </c>
      <c r="D651" s="366">
        <v>60</v>
      </c>
      <c r="E651" s="349">
        <v>66.849999999999994</v>
      </c>
      <c r="F651" s="360" t="s">
        <v>1033</v>
      </c>
      <c r="G651" s="366">
        <v>42</v>
      </c>
      <c r="H651" s="349">
        <v>47.53</v>
      </c>
      <c r="I651" s="347">
        <v>216</v>
      </c>
      <c r="J651" s="347">
        <v>114.85</v>
      </c>
      <c r="K651" s="349">
        <v>48</v>
      </c>
      <c r="L651" s="359">
        <v>54</v>
      </c>
      <c r="M651" s="347">
        <v>108</v>
      </c>
      <c r="N651" s="347">
        <f t="shared" si="80"/>
        <v>411.15593853856416</v>
      </c>
      <c r="O651" s="347">
        <f t="shared" si="81"/>
        <v>512.66434455775504</v>
      </c>
      <c r="P651" s="347">
        <f t="shared" si="82"/>
        <v>947.51249999999993</v>
      </c>
      <c r="Q651" s="347">
        <f t="shared" si="83"/>
        <v>585.09520071546217</v>
      </c>
      <c r="R651" s="595">
        <v>649</v>
      </c>
    </row>
    <row r="652" spans="1:18" ht="15.75" thickTop="1">
      <c r="A652" s="607">
        <v>650</v>
      </c>
      <c r="B652" s="802" t="s">
        <v>853</v>
      </c>
      <c r="C652" s="361">
        <v>1</v>
      </c>
      <c r="D652" s="542">
        <v>8</v>
      </c>
      <c r="E652" s="367">
        <v>9.4</v>
      </c>
      <c r="F652" s="543" t="s">
        <v>1009</v>
      </c>
      <c r="G652" s="542">
        <v>8</v>
      </c>
      <c r="H652" s="367">
        <v>9.4</v>
      </c>
      <c r="I652" s="367">
        <v>58.14</v>
      </c>
      <c r="J652" s="367">
        <v>59.11</v>
      </c>
      <c r="K652" s="367">
        <v>49.71</v>
      </c>
      <c r="L652" s="544">
        <v>48.74</v>
      </c>
      <c r="M652" s="541" t="s">
        <v>275</v>
      </c>
      <c r="N652" s="367">
        <f>PI()*D652^2/4*(J652+L652-12)/1728</f>
        <v>2.7881634800609412</v>
      </c>
      <c r="O652" s="367">
        <f>PI()*E652^2/4*(J652+L652-12)/1728</f>
        <v>3.8494082046591376</v>
      </c>
      <c r="P652" s="367">
        <f>66*I652*J652/1728</f>
        <v>131.26114375</v>
      </c>
      <c r="Q652" s="367">
        <f>0.4*(P652-O652)+N652</f>
        <v>53.752857698197289</v>
      </c>
      <c r="R652" s="595">
        <v>650</v>
      </c>
    </row>
    <row r="653" spans="1:18">
      <c r="A653" s="607">
        <v>651</v>
      </c>
      <c r="B653" s="803"/>
      <c r="C653" s="333">
        <v>2</v>
      </c>
      <c r="D653" s="334">
        <v>10</v>
      </c>
      <c r="E653" s="335">
        <v>12</v>
      </c>
      <c r="F653" s="336" t="s">
        <v>1010</v>
      </c>
      <c r="G653" s="334">
        <v>10</v>
      </c>
      <c r="H653" s="335">
        <v>12</v>
      </c>
      <c r="I653" s="335">
        <v>59.85</v>
      </c>
      <c r="J653" s="335">
        <v>61.38</v>
      </c>
      <c r="K653" s="335">
        <v>49.38</v>
      </c>
      <c r="L653" s="356">
        <v>47.85</v>
      </c>
      <c r="M653" s="338" t="s">
        <v>275</v>
      </c>
      <c r="N653" s="335">
        <f t="shared" ref="N653:N660" si="84">PI()*D653^2/4*(J653+L653-12)/1728</f>
        <v>4.419228207588767</v>
      </c>
      <c r="O653" s="335">
        <f t="shared" ref="O653:O660" si="85">PI()*E653^2/4*(J653+L653-12)/1728</f>
        <v>6.3636886189278252</v>
      </c>
      <c r="P653" s="335">
        <f t="shared" ref="P653:P660" si="86">66*I653*J653/1728</f>
        <v>140.31084375</v>
      </c>
      <c r="Q653" s="335">
        <f t="shared" ref="Q653:Q660" si="87">0.4*(P653-O653)+N653</f>
        <v>57.998090260017641</v>
      </c>
      <c r="R653" s="595">
        <v>651</v>
      </c>
    </row>
    <row r="654" spans="1:18">
      <c r="A654" s="607">
        <v>652</v>
      </c>
      <c r="B654" s="803"/>
      <c r="C654" s="333">
        <v>3</v>
      </c>
      <c r="D654" s="334">
        <v>12</v>
      </c>
      <c r="E654" s="335">
        <v>14.58</v>
      </c>
      <c r="F654" s="336" t="s">
        <v>1011</v>
      </c>
      <c r="G654" s="334">
        <v>12</v>
      </c>
      <c r="H654" s="335">
        <v>14.58</v>
      </c>
      <c r="I654" s="335">
        <v>62.37</v>
      </c>
      <c r="J654" s="335">
        <v>62.37</v>
      </c>
      <c r="K654" s="335">
        <v>47.79</v>
      </c>
      <c r="L654" s="356">
        <v>47.79</v>
      </c>
      <c r="M654" s="338" t="s">
        <v>275</v>
      </c>
      <c r="N654" s="335">
        <f t="shared" si="84"/>
        <v>6.424556976591127</v>
      </c>
      <c r="O654" s="335">
        <f t="shared" si="85"/>
        <v>9.4840916227682364</v>
      </c>
      <c r="P654" s="335">
        <f t="shared" si="86"/>
        <v>148.57703437499998</v>
      </c>
      <c r="Q654" s="335">
        <f t="shared" si="87"/>
        <v>62.061734077483827</v>
      </c>
      <c r="R654" s="595">
        <v>652</v>
      </c>
    </row>
    <row r="655" spans="1:18">
      <c r="A655" s="607">
        <v>653</v>
      </c>
      <c r="B655" s="803"/>
      <c r="C655" s="333">
        <v>4</v>
      </c>
      <c r="D655" s="334">
        <v>15</v>
      </c>
      <c r="E655" s="335">
        <v>17.73</v>
      </c>
      <c r="F655" s="336" t="s">
        <v>1012</v>
      </c>
      <c r="G655" s="334">
        <v>15</v>
      </c>
      <c r="H655" s="335">
        <v>17.73</v>
      </c>
      <c r="I655" s="335">
        <v>65.64</v>
      </c>
      <c r="J655" s="335">
        <v>63.06</v>
      </c>
      <c r="K655" s="335">
        <v>45.33</v>
      </c>
      <c r="L655" s="356">
        <v>47.91</v>
      </c>
      <c r="M655" s="338" t="s">
        <v>275</v>
      </c>
      <c r="N655" s="335">
        <f t="shared" si="84"/>
        <v>10.121205238469461</v>
      </c>
      <c r="O655" s="335">
        <f t="shared" si="85"/>
        <v>14.140578747591407</v>
      </c>
      <c r="P655" s="335">
        <f t="shared" si="86"/>
        <v>158.096675</v>
      </c>
      <c r="Q655" s="335">
        <f t="shared" si="87"/>
        <v>67.703643739432906</v>
      </c>
      <c r="R655" s="595">
        <v>653</v>
      </c>
    </row>
    <row r="656" spans="1:18">
      <c r="A656" s="607">
        <v>654</v>
      </c>
      <c r="B656" s="803"/>
      <c r="C656" s="333">
        <v>5</v>
      </c>
      <c r="D656" s="334">
        <v>18</v>
      </c>
      <c r="E656" s="335">
        <v>21.45</v>
      </c>
      <c r="F656" s="336" t="s">
        <v>1013</v>
      </c>
      <c r="G656" s="334">
        <v>18</v>
      </c>
      <c r="H656" s="335">
        <v>21.45</v>
      </c>
      <c r="I656" s="335">
        <v>69.98</v>
      </c>
      <c r="J656" s="335">
        <v>64.05</v>
      </c>
      <c r="K656" s="335">
        <v>42.6</v>
      </c>
      <c r="L656" s="356">
        <v>48.53</v>
      </c>
      <c r="M656" s="338" t="s">
        <v>275</v>
      </c>
      <c r="N656" s="335">
        <f t="shared" si="84"/>
        <v>14.811627613971625</v>
      </c>
      <c r="O656" s="335">
        <f t="shared" si="85"/>
        <v>21.033539797090679</v>
      </c>
      <c r="P656" s="335">
        <f t="shared" si="86"/>
        <v>171.19586458333336</v>
      </c>
      <c r="Q656" s="335">
        <f t="shared" si="87"/>
        <v>74.876557528468709</v>
      </c>
      <c r="R656" s="595">
        <v>654</v>
      </c>
    </row>
    <row r="657" spans="1:18">
      <c r="A657" s="607">
        <v>655</v>
      </c>
      <c r="B657" s="803"/>
      <c r="C657" s="333">
        <v>6</v>
      </c>
      <c r="D657" s="334">
        <v>24</v>
      </c>
      <c r="E657" s="335">
        <v>28.2</v>
      </c>
      <c r="F657" s="336" t="s">
        <v>1014</v>
      </c>
      <c r="G657" s="334">
        <v>24</v>
      </c>
      <c r="H657" s="335">
        <v>28.2</v>
      </c>
      <c r="I657" s="335">
        <v>77.05</v>
      </c>
      <c r="J657" s="335">
        <v>69.180000000000007</v>
      </c>
      <c r="K657" s="335">
        <v>40.98</v>
      </c>
      <c r="L657" s="356">
        <v>48.85</v>
      </c>
      <c r="M657" s="338" t="s">
        <v>275</v>
      </c>
      <c r="N657" s="335">
        <f t="shared" si="84"/>
        <v>27.758589088343815</v>
      </c>
      <c r="O657" s="335">
        <f t="shared" si="85"/>
        <v>38.324202060094677</v>
      </c>
      <c r="P657" s="335">
        <f t="shared" si="86"/>
        <v>203.58857291666669</v>
      </c>
      <c r="Q657" s="335">
        <f t="shared" si="87"/>
        <v>93.864337430972625</v>
      </c>
      <c r="R657" s="595">
        <v>655</v>
      </c>
    </row>
    <row r="658" spans="1:18">
      <c r="A658" s="607">
        <v>656</v>
      </c>
      <c r="B658" s="803"/>
      <c r="C658" s="333">
        <v>7</v>
      </c>
      <c r="D658" s="341">
        <v>30</v>
      </c>
      <c r="E658" s="342">
        <v>34.89</v>
      </c>
      <c r="F658" s="535" t="s">
        <v>1015</v>
      </c>
      <c r="G658" s="341">
        <v>30</v>
      </c>
      <c r="H658" s="342">
        <v>34.89</v>
      </c>
      <c r="I658" s="342">
        <v>85.45</v>
      </c>
      <c r="J658" s="342">
        <v>73.45</v>
      </c>
      <c r="K658" s="342">
        <v>38.56</v>
      </c>
      <c r="L658" s="536">
        <v>50.56</v>
      </c>
      <c r="M658" s="545" t="s">
        <v>275</v>
      </c>
      <c r="N658" s="342">
        <f t="shared" si="84"/>
        <v>45.818983480285517</v>
      </c>
      <c r="O658" s="342">
        <f t="shared" si="85"/>
        <v>61.973336666946302</v>
      </c>
      <c r="P658" s="342">
        <f t="shared" si="86"/>
        <v>239.7198871527778</v>
      </c>
      <c r="Q658" s="342">
        <f t="shared" si="87"/>
        <v>116.91760367461814</v>
      </c>
      <c r="R658" s="595">
        <v>656</v>
      </c>
    </row>
    <row r="659" spans="1:18">
      <c r="A659" s="607">
        <v>657</v>
      </c>
      <c r="B659" s="803"/>
      <c r="C659" s="333">
        <v>8</v>
      </c>
      <c r="D659" s="341">
        <v>36</v>
      </c>
      <c r="E659" s="342">
        <v>40.9</v>
      </c>
      <c r="F659" s="535" t="s">
        <v>1016</v>
      </c>
      <c r="G659" s="341">
        <v>36</v>
      </c>
      <c r="H659" s="342">
        <v>40.9</v>
      </c>
      <c r="I659" s="342">
        <v>88.45</v>
      </c>
      <c r="J659" s="342">
        <v>76.45</v>
      </c>
      <c r="K659" s="342">
        <v>35.549999999999997</v>
      </c>
      <c r="L659" s="536">
        <v>47.55</v>
      </c>
      <c r="M659" s="545" t="s">
        <v>275</v>
      </c>
      <c r="N659" s="342">
        <f t="shared" si="84"/>
        <v>65.973445725385659</v>
      </c>
      <c r="O659" s="342">
        <f t="shared" si="85"/>
        <v>85.155123259168505</v>
      </c>
      <c r="P659" s="342">
        <f t="shared" si="86"/>
        <v>258.27092881944441</v>
      </c>
      <c r="Q659" s="342">
        <f t="shared" si="87"/>
        <v>135.21976794949603</v>
      </c>
      <c r="R659" s="595">
        <v>657</v>
      </c>
    </row>
    <row r="660" spans="1:18" ht="15.75" thickBot="1">
      <c r="A660" s="608">
        <v>658</v>
      </c>
      <c r="B660" s="804"/>
      <c r="C660" s="345">
        <v>9</v>
      </c>
      <c r="D660" s="346">
        <v>42</v>
      </c>
      <c r="E660" s="349">
        <v>47.53</v>
      </c>
      <c r="F660" s="360" t="s">
        <v>1017</v>
      </c>
      <c r="G660" s="346">
        <v>42</v>
      </c>
      <c r="H660" s="349">
        <v>47.53</v>
      </c>
      <c r="I660" s="347">
        <v>98.43</v>
      </c>
      <c r="J660" s="347">
        <v>77.099999999999994</v>
      </c>
      <c r="K660" s="347">
        <v>29.57</v>
      </c>
      <c r="L660" s="359">
        <v>50.9</v>
      </c>
      <c r="M660" s="350" t="s">
        <v>275</v>
      </c>
      <c r="N660" s="347">
        <f t="shared" si="84"/>
        <v>93.004232515647828</v>
      </c>
      <c r="O660" s="347">
        <f t="shared" si="85"/>
        <v>119.10767878679664</v>
      </c>
      <c r="P660" s="347">
        <f t="shared" si="86"/>
        <v>289.85584375000002</v>
      </c>
      <c r="Q660" s="347">
        <f t="shared" si="87"/>
        <v>161.30349850092918</v>
      </c>
      <c r="R660" s="596">
        <v>658</v>
      </c>
    </row>
    <row r="661" spans="1:18" ht="15.75" thickTop="1"/>
  </sheetData>
  <sheetProtection algorithmName="SHA-512" hashValue="pTXT7rdFDdD1Ss6ICxw90s2QqUFLl+JzOKE+//hb5EZGf4jFVCp27i9jo5RHznKVeyZ+XoL09Z5qzONAO0925g==" saltValue="X/Ee+ZFWeUgO9FgxOmMNNw==" spinCount="100000" sheet="1" objects="1" scenarios="1" selectLockedCells="1" selectUnlockedCells="1"/>
  <mergeCells count="20">
    <mergeCell ref="B1:C1"/>
    <mergeCell ref="D1:E1"/>
    <mergeCell ref="F1:F2"/>
    <mergeCell ref="G1:H1"/>
    <mergeCell ref="N1:Q1"/>
    <mergeCell ref="B2:C2"/>
    <mergeCell ref="B482:B564"/>
    <mergeCell ref="B567:B649"/>
    <mergeCell ref="B652:B660"/>
    <mergeCell ref="B3:B31"/>
    <mergeCell ref="B32:B60"/>
    <mergeCell ref="B90:B93"/>
    <mergeCell ref="B475:B481"/>
    <mergeCell ref="B94:B166"/>
    <mergeCell ref="B167:B239"/>
    <mergeCell ref="B240:B312"/>
    <mergeCell ref="B313:B318"/>
    <mergeCell ref="B319:B396"/>
    <mergeCell ref="B397:B474"/>
    <mergeCell ref="B61:B8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6B47-D249-41CF-A720-74DCC994772E}">
  <dimension ref="A1:BE96"/>
  <sheetViews>
    <sheetView workbookViewId="0">
      <selection activeCell="B2" sqref="B2:Q3"/>
    </sheetView>
  </sheetViews>
  <sheetFormatPr defaultRowHeight="12.75"/>
  <cols>
    <col min="1" max="2" width="2.85546875" style="327" customWidth="1"/>
    <col min="3" max="5" width="2.85546875" style="326" customWidth="1"/>
    <col min="6" max="38" width="2.85546875" style="327" customWidth="1"/>
    <col min="39" max="16384" width="9.140625" style="327"/>
  </cols>
  <sheetData>
    <row r="1" spans="1:45">
      <c r="A1" s="401"/>
      <c r="B1" s="403"/>
      <c r="C1" s="402"/>
      <c r="D1" s="402"/>
      <c r="E1" s="402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4"/>
    </row>
    <row r="2" spans="1:45" ht="15" customHeight="1">
      <c r="A2" s="405"/>
      <c r="B2" s="851" t="s">
        <v>4</v>
      </c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3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407"/>
    </row>
    <row r="3" spans="1:45" ht="15" customHeight="1">
      <c r="A3" s="405"/>
      <c r="B3" s="854"/>
      <c r="C3" s="855"/>
      <c r="D3" s="855"/>
      <c r="E3" s="855"/>
      <c r="F3" s="855"/>
      <c r="G3" s="855"/>
      <c r="H3" s="855"/>
      <c r="I3" s="855"/>
      <c r="J3" s="855"/>
      <c r="K3" s="855"/>
      <c r="L3" s="855"/>
      <c r="M3" s="855"/>
      <c r="N3" s="855"/>
      <c r="O3" s="855"/>
      <c r="P3" s="855"/>
      <c r="Q3" s="856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407"/>
    </row>
    <row r="4" spans="1:45" ht="15" customHeight="1">
      <c r="A4" s="405"/>
      <c r="B4" s="851" t="s">
        <v>1099</v>
      </c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2"/>
      <c r="O4" s="852"/>
      <c r="P4" s="852"/>
      <c r="Q4" s="853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407"/>
      <c r="AS4"/>
    </row>
    <row r="5" spans="1:45" ht="15">
      <c r="A5" s="405"/>
      <c r="B5" s="854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6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407"/>
      <c r="AS5"/>
    </row>
    <row r="6" spans="1:45" ht="15" customHeight="1">
      <c r="A6" s="405"/>
      <c r="B6" s="851" t="s">
        <v>1100</v>
      </c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852"/>
      <c r="Q6" s="853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407"/>
    </row>
    <row r="7" spans="1:45">
      <c r="A7" s="405"/>
      <c r="B7" s="854"/>
      <c r="C7" s="855"/>
      <c r="D7" s="855"/>
      <c r="E7" s="855"/>
      <c r="F7" s="855"/>
      <c r="G7" s="855"/>
      <c r="H7" s="855"/>
      <c r="I7" s="855"/>
      <c r="J7" s="855"/>
      <c r="K7" s="855"/>
      <c r="L7" s="855"/>
      <c r="M7" s="855"/>
      <c r="N7" s="855"/>
      <c r="O7" s="855"/>
      <c r="P7" s="855"/>
      <c r="Q7" s="856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407"/>
    </row>
    <row r="8" spans="1:45">
      <c r="A8" s="405"/>
      <c r="B8" s="167"/>
      <c r="C8" s="377"/>
      <c r="D8" s="377"/>
      <c r="E8" s="37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407"/>
    </row>
    <row r="9" spans="1:45" ht="15" customHeight="1">
      <c r="A9" s="405"/>
      <c r="B9" s="564" t="s">
        <v>670</v>
      </c>
      <c r="C9" s="377"/>
      <c r="D9" s="377"/>
      <c r="E9" s="37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565">
        <v>4</v>
      </c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407"/>
    </row>
    <row r="10" spans="1:45" ht="15" customHeight="1">
      <c r="A10" s="405"/>
      <c r="B10" s="566"/>
      <c r="C10" s="377"/>
      <c r="D10" s="377"/>
      <c r="E10" s="37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407"/>
    </row>
    <row r="11" spans="1:45" ht="15" customHeight="1">
      <c r="A11" s="405"/>
      <c r="B11" s="564" t="s">
        <v>1101</v>
      </c>
      <c r="C11" s="377"/>
      <c r="D11" s="377"/>
      <c r="E11" s="377"/>
      <c r="F11" s="167"/>
      <c r="G11" s="167"/>
      <c r="H11" s="167"/>
      <c r="I11" s="167"/>
      <c r="J11" s="167"/>
      <c r="K11" s="167"/>
      <c r="L11" s="846">
        <v>150</v>
      </c>
      <c r="M11" s="847"/>
      <c r="N11" s="848"/>
      <c r="O11" s="167"/>
      <c r="P11" s="845" t="s">
        <v>672</v>
      </c>
      <c r="Q11" s="845"/>
      <c r="R11" s="845"/>
      <c r="S11" s="829">
        <f>L11*VLOOKUP(P9,Data!B4:N7,3)</f>
        <v>16455</v>
      </c>
      <c r="T11" s="829"/>
      <c r="U11" s="829"/>
      <c r="V11" s="829"/>
      <c r="W11" s="567" t="s">
        <v>1102</v>
      </c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568"/>
      <c r="AM11"/>
      <c r="AN11"/>
      <c r="AO11"/>
      <c r="AP11"/>
      <c r="AQ11"/>
      <c r="AR11"/>
      <c r="AS11"/>
    </row>
    <row r="12" spans="1:45" ht="15" customHeight="1">
      <c r="A12" s="405"/>
      <c r="B12" s="167"/>
      <c r="C12" s="167"/>
      <c r="D12" s="167"/>
      <c r="E12" s="37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568"/>
      <c r="AM12"/>
      <c r="AN12"/>
      <c r="AO12"/>
      <c r="AP12"/>
      <c r="AQ12"/>
      <c r="AR12"/>
    </row>
    <row r="13" spans="1:45" ht="15" customHeight="1">
      <c r="A13" s="405"/>
      <c r="B13" s="564" t="s">
        <v>1103</v>
      </c>
      <c r="C13" s="167"/>
      <c r="D13" s="167"/>
      <c r="E13" s="377"/>
      <c r="F13" s="167"/>
      <c r="G13" s="167"/>
      <c r="H13" s="167"/>
      <c r="I13" s="167"/>
      <c r="J13" s="167"/>
      <c r="K13" s="167"/>
      <c r="L13" s="846">
        <v>20</v>
      </c>
      <c r="M13" s="847"/>
      <c r="N13" s="848"/>
      <c r="O13" s="167"/>
      <c r="P13" s="845" t="s">
        <v>672</v>
      </c>
      <c r="Q13" s="845"/>
      <c r="R13" s="845"/>
      <c r="S13" s="829">
        <f>L13*VLOOKUP(P9,Data!B4:N7,12)</f>
        <v>792</v>
      </c>
      <c r="T13" s="829"/>
      <c r="U13" s="829"/>
      <c r="V13" s="829"/>
      <c r="W13" s="567" t="s">
        <v>1102</v>
      </c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568"/>
      <c r="AM13"/>
      <c r="AN13"/>
      <c r="AO13"/>
      <c r="AP13"/>
      <c r="AQ13"/>
      <c r="AR13"/>
    </row>
    <row r="14" spans="1:45" ht="15" customHeight="1">
      <c r="A14" s="405"/>
      <c r="B14" s="569"/>
      <c r="C14" s="377"/>
      <c r="D14" s="377"/>
      <c r="E14" s="167"/>
      <c r="F14" s="37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568"/>
      <c r="AM14"/>
      <c r="AN14"/>
      <c r="AO14"/>
      <c r="AP14"/>
      <c r="AQ14"/>
      <c r="AR14"/>
      <c r="AS14"/>
    </row>
    <row r="15" spans="1:45" ht="15" customHeight="1">
      <c r="A15" s="405"/>
      <c r="B15" s="564" t="s">
        <v>1104</v>
      </c>
      <c r="C15" s="377"/>
      <c r="D15" s="377"/>
      <c r="E15" s="377"/>
      <c r="F15" s="564" t="s">
        <v>1105</v>
      </c>
      <c r="G15" s="377"/>
      <c r="H15" s="377"/>
      <c r="I15" s="565">
        <v>3</v>
      </c>
      <c r="J15" s="167"/>
      <c r="K15" s="849" t="s">
        <v>1106</v>
      </c>
      <c r="L15" s="849"/>
      <c r="M15" s="849"/>
      <c r="N15" s="849"/>
      <c r="O15" s="849"/>
      <c r="P15" s="849"/>
      <c r="Q15" s="849"/>
      <c r="R15" s="850">
        <f>MAX(1,ROUNDUP(VLOOKUP(I15,Data!F89:J100,5),2))</f>
        <v>1</v>
      </c>
      <c r="S15" s="850"/>
      <c r="T15" s="570" t="s">
        <v>13</v>
      </c>
      <c r="U15" s="167"/>
      <c r="V15" s="167"/>
      <c r="W15" s="571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407"/>
    </row>
    <row r="16" spans="1:45" ht="15" customHeight="1">
      <c r="A16" s="405"/>
      <c r="B16" s="167"/>
      <c r="C16" s="377"/>
      <c r="D16" s="37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407"/>
    </row>
    <row r="17" spans="1:57" ht="15" customHeight="1">
      <c r="A17" s="405"/>
      <c r="B17" s="167"/>
      <c r="C17" s="564" t="s">
        <v>1107</v>
      </c>
      <c r="D17" s="377"/>
      <c r="E17" s="167"/>
      <c r="F17" s="167"/>
      <c r="G17" s="167"/>
      <c r="H17" s="167"/>
      <c r="I17" s="167"/>
      <c r="J17" s="167"/>
      <c r="K17" s="167"/>
      <c r="L17" s="167"/>
      <c r="M17" s="565">
        <v>6</v>
      </c>
      <c r="N17" s="167"/>
      <c r="O17" s="844" t="s">
        <v>1108</v>
      </c>
      <c r="P17" s="844"/>
      <c r="Q17" s="167"/>
      <c r="R17" s="565">
        <v>1</v>
      </c>
      <c r="S17" s="167"/>
      <c r="T17" s="845" t="s">
        <v>672</v>
      </c>
      <c r="U17" s="845"/>
      <c r="V17" s="845"/>
      <c r="W17" s="833">
        <f>(R17-1)*VLOOKUP(M17,Fittings!A3:R660,14)</f>
        <v>0</v>
      </c>
      <c r="X17" s="833"/>
      <c r="Y17" s="833"/>
      <c r="Z17" s="567" t="s">
        <v>1102</v>
      </c>
      <c r="AA17" s="167"/>
      <c r="AB17" s="845" t="s">
        <v>1109</v>
      </c>
      <c r="AC17" s="845"/>
      <c r="AD17" s="845"/>
      <c r="AE17" s="833">
        <f>(R17-1)*VLOOKUP(M17,Fittings!A3:R660,15)</f>
        <v>0</v>
      </c>
      <c r="AF17" s="833"/>
      <c r="AG17" s="833"/>
      <c r="AH17" s="567" t="s">
        <v>1102</v>
      </c>
      <c r="AI17" s="167"/>
      <c r="AJ17" s="167"/>
      <c r="AK17" s="167"/>
      <c r="AL17" s="407"/>
    </row>
    <row r="18" spans="1:57" ht="15" customHeight="1">
      <c r="A18" s="405"/>
      <c r="B18" s="167"/>
      <c r="C18" s="167"/>
      <c r="D18" s="377"/>
      <c r="E18" s="167"/>
      <c r="F18" s="94"/>
      <c r="G18" s="94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407"/>
    </row>
    <row r="19" spans="1:57" ht="15" customHeight="1">
      <c r="A19" s="405"/>
      <c r="B19" s="167"/>
      <c r="C19" s="167"/>
      <c r="D19" s="377"/>
      <c r="E19" s="377"/>
      <c r="F19" s="167"/>
      <c r="G19" s="94"/>
      <c r="H19" s="167"/>
      <c r="I19" s="167"/>
      <c r="J19" s="167"/>
      <c r="K19" s="167"/>
      <c r="L19" s="167"/>
      <c r="M19" s="572">
        <v>267</v>
      </c>
      <c r="N19" s="167"/>
      <c r="O19" s="844" t="s">
        <v>1108</v>
      </c>
      <c r="P19" s="844"/>
      <c r="Q19" s="167"/>
      <c r="R19" s="565">
        <v>1</v>
      </c>
      <c r="S19" s="167"/>
      <c r="T19" s="845" t="s">
        <v>672</v>
      </c>
      <c r="U19" s="845"/>
      <c r="V19" s="845"/>
      <c r="W19" s="833">
        <f>(R19-1)*VLOOKUP(M19,Fittings!A3:R660,14)</f>
        <v>0</v>
      </c>
      <c r="X19" s="833"/>
      <c r="Y19" s="833"/>
      <c r="Z19" s="567" t="s">
        <v>1102</v>
      </c>
      <c r="AA19" s="167"/>
      <c r="AB19" s="845" t="s">
        <v>1109</v>
      </c>
      <c r="AC19" s="845"/>
      <c r="AD19" s="845"/>
      <c r="AE19" s="833">
        <f>(R19-1)*VLOOKUP(M19,Fittings!A3:R660,15)</f>
        <v>0</v>
      </c>
      <c r="AF19" s="833"/>
      <c r="AG19" s="833"/>
      <c r="AH19" s="567" t="s">
        <v>1102</v>
      </c>
      <c r="AI19" s="167"/>
      <c r="AJ19" s="167"/>
      <c r="AK19" s="167"/>
      <c r="AL19" s="407"/>
      <c r="BB19"/>
      <c r="BC19"/>
      <c r="BD19"/>
      <c r="BE19"/>
    </row>
    <row r="20" spans="1:57" ht="15" customHeight="1">
      <c r="A20" s="405"/>
      <c r="B20" s="167"/>
      <c r="C20" s="167"/>
      <c r="D20" s="167"/>
      <c r="E20" s="167"/>
      <c r="F20" s="94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407"/>
      <c r="BB20"/>
      <c r="BC20"/>
      <c r="BD20"/>
      <c r="BE20"/>
    </row>
    <row r="21" spans="1:57" ht="15" customHeight="1">
      <c r="A21" s="405"/>
      <c r="B21" s="167"/>
      <c r="C21" s="167"/>
      <c r="D21" s="167"/>
      <c r="E21" s="167"/>
      <c r="F21" s="94"/>
      <c r="G21" s="94"/>
      <c r="H21" s="167"/>
      <c r="I21" s="167"/>
      <c r="J21" s="167"/>
      <c r="K21" s="167"/>
      <c r="L21" s="167"/>
      <c r="M21" s="572">
        <v>204</v>
      </c>
      <c r="N21" s="167"/>
      <c r="O21" s="844" t="s">
        <v>1108</v>
      </c>
      <c r="P21" s="844"/>
      <c r="Q21" s="167"/>
      <c r="R21" s="565">
        <v>1</v>
      </c>
      <c r="S21" s="167"/>
      <c r="T21" s="845" t="s">
        <v>672</v>
      </c>
      <c r="U21" s="845"/>
      <c r="V21" s="845"/>
      <c r="W21" s="833">
        <f>(R21-1)*VLOOKUP(M21,Fittings!A3:R660,14)</f>
        <v>0</v>
      </c>
      <c r="X21" s="833"/>
      <c r="Y21" s="833"/>
      <c r="Z21" s="567" t="s">
        <v>1102</v>
      </c>
      <c r="AA21" s="167"/>
      <c r="AB21" s="845" t="s">
        <v>1109</v>
      </c>
      <c r="AC21" s="845"/>
      <c r="AD21" s="845"/>
      <c r="AE21" s="833">
        <f>(R21-1)*VLOOKUP(M21,Fittings!A3:R660,15)</f>
        <v>0</v>
      </c>
      <c r="AF21" s="833"/>
      <c r="AG21" s="833"/>
      <c r="AH21" s="567" t="s">
        <v>1102</v>
      </c>
      <c r="AI21" s="167"/>
      <c r="AJ21" s="167"/>
      <c r="AK21" s="167"/>
      <c r="AL21" s="407"/>
      <c r="BB21"/>
      <c r="BC21"/>
      <c r="BD21"/>
      <c r="BE21"/>
    </row>
    <row r="22" spans="1:57" ht="15" customHeight="1">
      <c r="A22" s="405"/>
      <c r="B22" s="167"/>
      <c r="C22" s="167"/>
      <c r="D22" s="377"/>
      <c r="E22" s="37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407"/>
      <c r="BB22"/>
      <c r="BC22"/>
      <c r="BD22"/>
      <c r="BE22"/>
    </row>
    <row r="23" spans="1:57" ht="15" customHeight="1">
      <c r="A23" s="405"/>
      <c r="B23" s="167"/>
      <c r="C23" s="377"/>
      <c r="D23" s="377"/>
      <c r="E23" s="377"/>
      <c r="F23" s="94"/>
      <c r="G23" s="94"/>
      <c r="H23" s="167"/>
      <c r="I23" s="167"/>
      <c r="J23" s="167"/>
      <c r="K23" s="167"/>
      <c r="L23" s="167"/>
      <c r="M23" s="572">
        <v>163</v>
      </c>
      <c r="N23" s="167"/>
      <c r="O23" s="844" t="s">
        <v>1108</v>
      </c>
      <c r="P23" s="844"/>
      <c r="Q23" s="167"/>
      <c r="R23" s="565">
        <v>1</v>
      </c>
      <c r="S23" s="167"/>
      <c r="T23" s="845" t="s">
        <v>672</v>
      </c>
      <c r="U23" s="845"/>
      <c r="V23" s="845"/>
      <c r="W23" s="833">
        <f>(R23-1)*VLOOKUP(M23,Fittings!A3:R460,14)</f>
        <v>0</v>
      </c>
      <c r="X23" s="833"/>
      <c r="Y23" s="833"/>
      <c r="Z23" s="567" t="s">
        <v>1102</v>
      </c>
      <c r="AA23" s="167"/>
      <c r="AB23" s="845" t="s">
        <v>1109</v>
      </c>
      <c r="AC23" s="845"/>
      <c r="AD23" s="845"/>
      <c r="AE23" s="833">
        <f>(R23-1)*VLOOKUP(M23,Fittings!A3:R660,15)</f>
        <v>0</v>
      </c>
      <c r="AF23" s="833"/>
      <c r="AG23" s="833"/>
      <c r="AH23" s="567" t="s">
        <v>1102</v>
      </c>
      <c r="AI23" s="167"/>
      <c r="AJ23" s="167"/>
      <c r="AK23" s="167"/>
      <c r="AL23" s="407"/>
      <c r="BB23"/>
      <c r="BC23"/>
      <c r="BD23"/>
      <c r="BE23"/>
    </row>
    <row r="24" spans="1:57" ht="15" customHeight="1">
      <c r="A24" s="405"/>
      <c r="B24" s="167"/>
      <c r="C24" s="377"/>
      <c r="D24" s="377"/>
      <c r="E24" s="37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407"/>
      <c r="AO24"/>
      <c r="BB24"/>
      <c r="BC24"/>
      <c r="BD24"/>
      <c r="BE24"/>
    </row>
    <row r="25" spans="1:57" ht="15" customHeight="1">
      <c r="A25" s="415"/>
      <c r="B25" s="167"/>
      <c r="C25" s="564" t="s">
        <v>1110</v>
      </c>
      <c r="D25" s="377"/>
      <c r="E25" s="377"/>
      <c r="F25" s="167"/>
      <c r="G25" s="167"/>
      <c r="H25" s="167"/>
      <c r="I25" s="167"/>
      <c r="J25" s="167"/>
      <c r="K25" s="834">
        <v>0</v>
      </c>
      <c r="L25" s="835"/>
      <c r="M25" s="835"/>
      <c r="N25" s="836"/>
      <c r="O25" s="567" t="s">
        <v>13</v>
      </c>
      <c r="P25" s="167"/>
      <c r="Q25" s="167"/>
      <c r="R25" s="167"/>
      <c r="S25" s="167"/>
      <c r="T25" s="845" t="s">
        <v>672</v>
      </c>
      <c r="U25" s="845"/>
      <c r="V25" s="845"/>
      <c r="W25" s="833">
        <f>PI()*VLOOKUP(I15,Fittings!V3:X14,2)^2/4/144*K25</f>
        <v>0</v>
      </c>
      <c r="X25" s="833"/>
      <c r="Y25" s="833"/>
      <c r="Z25" s="567" t="s">
        <v>1102</v>
      </c>
      <c r="AA25" s="167"/>
      <c r="AB25" s="845" t="s">
        <v>1109</v>
      </c>
      <c r="AC25" s="845"/>
      <c r="AD25" s="845"/>
      <c r="AE25" s="833">
        <f>PI()*VLOOKUP(I15,Fittings!V3:X14,3)^2/4/144*K25</f>
        <v>0</v>
      </c>
      <c r="AF25" s="833"/>
      <c r="AG25" s="833"/>
      <c r="AH25" s="567" t="s">
        <v>1102</v>
      </c>
      <c r="AI25" s="167"/>
      <c r="AJ25" s="167"/>
      <c r="AK25" s="167"/>
      <c r="AL25" s="407"/>
      <c r="BB25"/>
      <c r="BC25"/>
      <c r="BD25"/>
      <c r="BE25"/>
    </row>
    <row r="26" spans="1:57" ht="15" customHeight="1">
      <c r="A26" s="405"/>
      <c r="B26" s="94"/>
      <c r="C26" s="94"/>
      <c r="D26" s="94"/>
      <c r="E26" s="94"/>
      <c r="F26" s="94"/>
      <c r="G26" s="94"/>
      <c r="H26" s="94"/>
      <c r="I26" s="94"/>
      <c r="J26" s="94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407"/>
      <c r="BB26"/>
      <c r="BC26"/>
      <c r="BD26"/>
      <c r="BE26"/>
    </row>
    <row r="27" spans="1:57" ht="15" customHeight="1">
      <c r="A27" s="405"/>
      <c r="B27" s="564" t="s">
        <v>1111</v>
      </c>
      <c r="C27" s="94"/>
      <c r="D27" s="94"/>
      <c r="E27" s="94"/>
      <c r="F27" s="94"/>
      <c r="G27" s="94"/>
      <c r="H27" s="94"/>
      <c r="I27" s="94"/>
      <c r="J27" s="94"/>
      <c r="K27" s="839">
        <v>6269</v>
      </c>
      <c r="L27" s="840"/>
      <c r="M27" s="840"/>
      <c r="N27" s="841"/>
      <c r="O27" s="567" t="s">
        <v>1112</v>
      </c>
      <c r="P27" s="94"/>
      <c r="Q27" s="94"/>
      <c r="R27" s="573"/>
      <c r="S27" s="94"/>
      <c r="T27" s="167"/>
      <c r="U27" s="94"/>
      <c r="V27" s="94"/>
      <c r="W27" s="94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407"/>
      <c r="BB27"/>
      <c r="BC27"/>
      <c r="BD27"/>
      <c r="BE27"/>
    </row>
    <row r="28" spans="1:57" ht="15" customHeight="1">
      <c r="A28" s="40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94"/>
      <c r="AD28" s="94"/>
      <c r="AE28" s="94"/>
      <c r="AF28" s="167"/>
      <c r="AG28" s="167"/>
      <c r="AH28" s="167"/>
      <c r="AI28" s="167"/>
      <c r="AJ28" s="167"/>
      <c r="AK28" s="167"/>
      <c r="AL28" s="407"/>
      <c r="BB28"/>
      <c r="BC28"/>
      <c r="BD28"/>
      <c r="BE28"/>
    </row>
    <row r="29" spans="1:57" ht="15" customHeight="1">
      <c r="A29" s="405"/>
      <c r="B29" s="567" t="s">
        <v>1113</v>
      </c>
      <c r="C29" s="94"/>
      <c r="D29" s="94"/>
      <c r="E29" s="94"/>
      <c r="F29" s="94"/>
      <c r="G29" s="94"/>
      <c r="H29" s="94"/>
      <c r="I29" s="94"/>
      <c r="J29" s="94"/>
      <c r="K29" s="839">
        <v>320.56</v>
      </c>
      <c r="L29" s="840"/>
      <c r="M29" s="840"/>
      <c r="N29" s="841"/>
      <c r="O29" s="567" t="s">
        <v>13</v>
      </c>
      <c r="P29" s="94"/>
      <c r="Q29" s="94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94"/>
      <c r="AD29" s="94"/>
      <c r="AE29" s="94"/>
      <c r="AF29" s="167"/>
      <c r="AG29" s="167"/>
      <c r="AH29" s="167"/>
      <c r="AI29" s="167"/>
      <c r="AJ29" s="167"/>
      <c r="AK29" s="167"/>
      <c r="AL29" s="407"/>
      <c r="BB29"/>
      <c r="BC29"/>
      <c r="BD29"/>
      <c r="BE29"/>
    </row>
    <row r="30" spans="1:57" ht="15" customHeight="1">
      <c r="A30" s="405"/>
      <c r="B30" s="94"/>
      <c r="C30" s="94"/>
      <c r="D30" s="94"/>
      <c r="E30" s="94"/>
      <c r="F30" s="94"/>
      <c r="G30" s="94"/>
      <c r="H30" s="167"/>
      <c r="I30" s="167"/>
      <c r="J30" s="167"/>
      <c r="K30" s="94"/>
      <c r="L30" s="94"/>
      <c r="M30" s="94"/>
      <c r="N30" s="94"/>
      <c r="O30" s="94"/>
      <c r="P30" s="94"/>
      <c r="Q30" s="94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94"/>
      <c r="AD30" s="94"/>
      <c r="AE30" s="94"/>
      <c r="AF30" s="167"/>
      <c r="AG30" s="167"/>
      <c r="AH30" s="167"/>
      <c r="AI30" s="167"/>
      <c r="AJ30" s="167"/>
      <c r="AK30" s="167"/>
      <c r="AL30" s="407"/>
      <c r="BB30"/>
      <c r="BC30"/>
      <c r="BD30"/>
      <c r="BE30"/>
    </row>
    <row r="31" spans="1:57" ht="15" customHeight="1">
      <c r="A31" s="416"/>
      <c r="C31" s="167"/>
      <c r="D31" s="167"/>
      <c r="E31" s="167"/>
      <c r="F31" s="167"/>
      <c r="G31" s="167"/>
      <c r="H31" s="167"/>
      <c r="I31" s="167"/>
      <c r="J31" s="567"/>
      <c r="K31" s="567"/>
      <c r="L31" s="567"/>
      <c r="M31" s="842"/>
      <c r="N31" s="842"/>
      <c r="O31" s="567"/>
      <c r="P31" s="167"/>
      <c r="Q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94"/>
      <c r="AE31" s="94"/>
      <c r="AF31" s="94"/>
      <c r="AG31" s="94"/>
      <c r="AH31" s="94"/>
      <c r="AI31" s="94"/>
      <c r="AJ31" s="94"/>
      <c r="AK31" s="94"/>
      <c r="AL31" s="407"/>
      <c r="BB31"/>
      <c r="BC31"/>
      <c r="BD31"/>
      <c r="BE31"/>
    </row>
    <row r="32" spans="1:57" ht="15" customHeight="1">
      <c r="A32" s="574"/>
      <c r="B32" s="564" t="s">
        <v>1114</v>
      </c>
      <c r="C32" s="377"/>
      <c r="D32" s="377"/>
      <c r="E32" s="37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564" t="s">
        <v>1115</v>
      </c>
      <c r="S32" s="377"/>
      <c r="T32" s="377"/>
      <c r="U32" s="37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407"/>
    </row>
    <row r="33" spans="1:38" ht="18" customHeight="1">
      <c r="A33" s="574"/>
      <c r="B33" s="566" t="s">
        <v>1116</v>
      </c>
      <c r="C33" s="377"/>
      <c r="D33" s="377"/>
      <c r="E33" s="377"/>
      <c r="F33" s="167"/>
      <c r="G33" s="167"/>
      <c r="H33" s="167"/>
      <c r="I33" s="167"/>
      <c r="J33" s="167"/>
      <c r="K33" s="167"/>
      <c r="L33" s="167"/>
      <c r="M33" s="837">
        <f>VLOOKUP(P9,Data!B4:N7,10)</f>
        <v>9</v>
      </c>
      <c r="N33" s="837"/>
      <c r="O33" s="567" t="s">
        <v>8</v>
      </c>
      <c r="P33" s="167"/>
      <c r="Q33" s="167"/>
      <c r="R33" s="566" t="s">
        <v>1117</v>
      </c>
      <c r="S33" s="377"/>
      <c r="T33" s="94"/>
      <c r="U33" s="167"/>
      <c r="V33" s="167"/>
      <c r="W33" s="167"/>
      <c r="X33" s="575"/>
      <c r="Y33" s="167"/>
      <c r="Z33" s="167"/>
      <c r="AA33" s="167"/>
      <c r="AB33" s="843">
        <f>AB34-(M33+M34)/12</f>
        <v>109.25</v>
      </c>
      <c r="AC33" s="843"/>
      <c r="AD33" s="843"/>
      <c r="AE33" s="567" t="s">
        <v>13</v>
      </c>
      <c r="AF33" s="167"/>
      <c r="AG33" s="167"/>
      <c r="AH33" s="167"/>
      <c r="AI33" s="167"/>
      <c r="AJ33" s="167"/>
      <c r="AK33" s="167"/>
      <c r="AL33" s="407"/>
    </row>
    <row r="34" spans="1:38" ht="18" customHeight="1">
      <c r="A34" s="576"/>
      <c r="B34" s="566" t="s">
        <v>1118</v>
      </c>
      <c r="C34" s="377"/>
      <c r="D34" s="567"/>
      <c r="E34" s="567"/>
      <c r="F34" s="567"/>
      <c r="G34" s="567"/>
      <c r="H34" s="567"/>
      <c r="I34" s="567"/>
      <c r="J34" s="567"/>
      <c r="K34" s="167"/>
      <c r="L34" s="167"/>
      <c r="M34" s="831">
        <v>0</v>
      </c>
      <c r="N34" s="832"/>
      <c r="O34" s="567" t="s">
        <v>8</v>
      </c>
      <c r="P34" s="167"/>
      <c r="Q34" s="167"/>
      <c r="R34" s="566" t="s">
        <v>1119</v>
      </c>
      <c r="S34" s="377"/>
      <c r="T34" s="94"/>
      <c r="U34" s="167"/>
      <c r="V34" s="167"/>
      <c r="W34" s="167"/>
      <c r="X34" s="575"/>
      <c r="Y34" s="167"/>
      <c r="Z34" s="167"/>
      <c r="AA34" s="167"/>
      <c r="AB34" s="834">
        <v>110</v>
      </c>
      <c r="AC34" s="835"/>
      <c r="AD34" s="836"/>
      <c r="AE34" s="567" t="s">
        <v>13</v>
      </c>
      <c r="AF34" s="167"/>
      <c r="AG34" s="167"/>
      <c r="AH34" s="167"/>
      <c r="AI34" s="167"/>
      <c r="AJ34" s="167"/>
      <c r="AK34" s="570"/>
      <c r="AL34" s="407"/>
    </row>
    <row r="35" spans="1:38" ht="18" customHeight="1">
      <c r="A35" s="576"/>
      <c r="B35" s="566" t="s">
        <v>1120</v>
      </c>
      <c r="C35" s="377"/>
      <c r="D35" s="377"/>
      <c r="E35" s="377"/>
      <c r="F35" s="167"/>
      <c r="G35" s="167"/>
      <c r="H35" s="167"/>
      <c r="I35" s="167"/>
      <c r="J35" s="167"/>
      <c r="K35" s="167"/>
      <c r="L35" s="167"/>
      <c r="M35" s="837">
        <f>VLOOKUP(P9,Data!B4:N7,7)</f>
        <v>59.5</v>
      </c>
      <c r="N35" s="837"/>
      <c r="O35" s="567" t="s">
        <v>8</v>
      </c>
      <c r="P35" s="167"/>
      <c r="Q35" s="167"/>
      <c r="R35" s="566" t="s">
        <v>1121</v>
      </c>
      <c r="S35" s="377"/>
      <c r="T35" s="94"/>
      <c r="U35" s="167"/>
      <c r="V35" s="167"/>
      <c r="W35" s="167"/>
      <c r="X35" s="575"/>
      <c r="Y35" s="167"/>
      <c r="Z35" s="167"/>
      <c r="AA35" s="167"/>
      <c r="AB35" s="838">
        <f>AB34+M35/12</f>
        <v>114.95833333333333</v>
      </c>
      <c r="AC35" s="838"/>
      <c r="AD35" s="838"/>
      <c r="AE35" s="567" t="s">
        <v>13</v>
      </c>
      <c r="AF35" s="167"/>
      <c r="AG35" s="167"/>
      <c r="AH35" s="167"/>
      <c r="AI35" s="167"/>
      <c r="AJ35" s="167"/>
      <c r="AK35" s="167"/>
      <c r="AL35" s="407"/>
    </row>
    <row r="36" spans="1:38" ht="18" customHeight="1">
      <c r="A36" s="576"/>
      <c r="B36" s="566" t="s">
        <v>1122</v>
      </c>
      <c r="C36" s="377"/>
      <c r="D36" s="377"/>
      <c r="E36" s="377"/>
      <c r="F36" s="167"/>
      <c r="G36" s="167"/>
      <c r="H36" s="167"/>
      <c r="I36" s="167"/>
      <c r="J36" s="167"/>
      <c r="K36" s="167"/>
      <c r="L36" s="167"/>
      <c r="M36" s="837">
        <f>VLOOKUP(P9,Data!B4:N7,11)</f>
        <v>12</v>
      </c>
      <c r="N36" s="837"/>
      <c r="O36" s="567" t="s">
        <v>8</v>
      </c>
      <c r="P36" s="167"/>
      <c r="Q36" s="167"/>
      <c r="R36" s="566" t="s">
        <v>1123</v>
      </c>
      <c r="S36" s="377"/>
      <c r="T36" s="94"/>
      <c r="U36" s="167"/>
      <c r="V36" s="167"/>
      <c r="W36" s="167"/>
      <c r="X36" s="575"/>
      <c r="Y36" s="167"/>
      <c r="Z36" s="167"/>
      <c r="AA36" s="167"/>
      <c r="AB36" s="833">
        <f>AB35+(M36+M37)/12</f>
        <v>115.95833333333333</v>
      </c>
      <c r="AC36" s="833"/>
      <c r="AD36" s="833"/>
      <c r="AE36" s="567" t="s">
        <v>13</v>
      </c>
      <c r="AF36" s="167"/>
      <c r="AG36" s="167"/>
      <c r="AH36" s="167"/>
      <c r="AI36" s="167"/>
      <c r="AJ36" s="167"/>
      <c r="AK36" s="167"/>
      <c r="AL36" s="407"/>
    </row>
    <row r="37" spans="1:38" ht="18" customHeight="1">
      <c r="A37" s="576"/>
      <c r="B37" s="566" t="s">
        <v>1124</v>
      </c>
      <c r="C37" s="377"/>
      <c r="D37" s="377"/>
      <c r="E37" s="377"/>
      <c r="F37" s="167"/>
      <c r="G37" s="167"/>
      <c r="H37" s="167"/>
      <c r="I37" s="167"/>
      <c r="J37" s="167"/>
      <c r="K37" s="167"/>
      <c r="L37" s="167"/>
      <c r="M37" s="831">
        <v>0</v>
      </c>
      <c r="N37" s="832"/>
      <c r="O37" s="567" t="s">
        <v>8</v>
      </c>
      <c r="P37" s="167"/>
      <c r="Q37" s="167"/>
      <c r="R37" s="566" t="s">
        <v>1125</v>
      </c>
      <c r="S37" s="377"/>
      <c r="T37" s="167"/>
      <c r="U37" s="167"/>
      <c r="V37" s="167"/>
      <c r="W37" s="167"/>
      <c r="X37" s="167"/>
      <c r="Y37" s="167"/>
      <c r="Z37" s="167"/>
      <c r="AA37" s="167"/>
      <c r="AB37" s="833">
        <f>8+AB35</f>
        <v>122.95833333333333</v>
      </c>
      <c r="AC37" s="833"/>
      <c r="AD37" s="833"/>
      <c r="AE37" s="567" t="s">
        <v>13</v>
      </c>
      <c r="AF37" s="167"/>
      <c r="AG37" s="167"/>
      <c r="AH37" s="167"/>
      <c r="AI37" s="167"/>
      <c r="AJ37" s="167"/>
      <c r="AK37" s="167"/>
      <c r="AL37" s="407"/>
    </row>
    <row r="38" spans="1:38" ht="18" customHeight="1">
      <c r="A38" s="576"/>
      <c r="B38" s="566" t="s">
        <v>1126</v>
      </c>
      <c r="C38" s="377"/>
      <c r="D38" s="377"/>
      <c r="E38" s="377"/>
      <c r="F38" s="167"/>
      <c r="G38" s="167"/>
      <c r="H38" s="167"/>
      <c r="I38" s="167"/>
      <c r="J38" s="167"/>
      <c r="K38" s="167"/>
      <c r="L38" s="167"/>
      <c r="M38" s="833">
        <f>(M33+M34+M35+M36+M37)/12</f>
        <v>6.708333333333333</v>
      </c>
      <c r="N38" s="833"/>
      <c r="O38" s="567" t="s">
        <v>13</v>
      </c>
      <c r="P38" s="167"/>
      <c r="Q38" s="167"/>
      <c r="R38" s="566" t="s">
        <v>1127</v>
      </c>
      <c r="S38" s="377"/>
      <c r="T38" s="167"/>
      <c r="U38" s="167"/>
      <c r="V38" s="167"/>
      <c r="W38" s="167"/>
      <c r="X38" s="167"/>
      <c r="Y38" s="167"/>
      <c r="Z38" s="167"/>
      <c r="AA38" s="167"/>
      <c r="AB38" s="833">
        <f>IF(P9=1,1.5+AB35,IF(P9=2,1.5+AB35,2+AB35))</f>
        <v>116.95833333333333</v>
      </c>
      <c r="AC38" s="833"/>
      <c r="AD38" s="833"/>
      <c r="AE38" s="567" t="s">
        <v>13</v>
      </c>
      <c r="AF38" s="167"/>
      <c r="AG38" s="167"/>
      <c r="AH38" s="167"/>
      <c r="AI38" s="167"/>
      <c r="AJ38" s="167"/>
      <c r="AK38" s="167"/>
      <c r="AL38" s="407"/>
    </row>
    <row r="39" spans="1:38" ht="18" customHeight="1">
      <c r="A39" s="416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67"/>
      <c r="R39" s="577" t="s">
        <v>1128</v>
      </c>
      <c r="S39" s="377"/>
      <c r="T39" s="578"/>
      <c r="U39" s="578"/>
      <c r="V39" s="578"/>
      <c r="W39" s="578"/>
      <c r="X39" s="578"/>
      <c r="Y39" s="578"/>
      <c r="Z39" s="578"/>
      <c r="AA39" s="578"/>
      <c r="AB39" s="578"/>
      <c r="AC39" s="578"/>
      <c r="AD39" s="578"/>
      <c r="AE39" s="578"/>
      <c r="AF39" s="167"/>
      <c r="AG39" s="167"/>
      <c r="AH39" s="167"/>
      <c r="AI39" s="167"/>
      <c r="AJ39" s="167"/>
      <c r="AK39" s="167"/>
      <c r="AL39" s="407"/>
    </row>
    <row r="40" spans="1:38" ht="18" customHeight="1">
      <c r="A40" s="416"/>
      <c r="B40" s="167"/>
      <c r="C40" s="377"/>
      <c r="D40" s="377"/>
      <c r="E40" s="37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579"/>
      <c r="Q40" s="167"/>
      <c r="R40" s="167"/>
      <c r="S40" s="167"/>
      <c r="T40" s="167"/>
      <c r="U40" s="167"/>
      <c r="V40" s="167"/>
      <c r="W40" s="167"/>
      <c r="X40" s="167"/>
      <c r="Y40" s="167"/>
      <c r="Z40" s="94"/>
      <c r="AA40" s="94"/>
      <c r="AB40" s="94"/>
      <c r="AC40" s="167"/>
      <c r="AD40" s="167"/>
      <c r="AE40" s="167"/>
      <c r="AF40" s="167"/>
      <c r="AG40" s="167"/>
      <c r="AH40" s="167"/>
      <c r="AI40" s="167"/>
      <c r="AJ40" s="167"/>
      <c r="AK40" s="167"/>
      <c r="AL40" s="407"/>
    </row>
    <row r="41" spans="1:38" ht="18" customHeight="1">
      <c r="A41" s="416"/>
      <c r="B41" s="564" t="s">
        <v>1129</v>
      </c>
      <c r="C41" s="167"/>
      <c r="D41" s="167"/>
      <c r="E41" s="167"/>
      <c r="F41" s="167"/>
      <c r="G41" s="167"/>
      <c r="H41" s="167"/>
      <c r="I41" s="167"/>
      <c r="J41" s="94"/>
      <c r="K41" s="94"/>
      <c r="L41" s="94"/>
      <c r="M41" s="167"/>
      <c r="N41" s="167"/>
      <c r="O41" s="167"/>
      <c r="P41" s="167"/>
      <c r="R41" s="564" t="s">
        <v>1130</v>
      </c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407"/>
    </row>
    <row r="42" spans="1:38" ht="18" customHeight="1">
      <c r="A42" s="416"/>
      <c r="B42" s="566" t="s">
        <v>1131</v>
      </c>
      <c r="C42" s="94"/>
      <c r="D42" s="94"/>
      <c r="E42" s="94"/>
      <c r="F42" s="94"/>
      <c r="G42" s="94"/>
      <c r="H42" s="94"/>
      <c r="I42" s="167"/>
      <c r="J42" s="167"/>
      <c r="K42" s="94"/>
      <c r="L42" s="826">
        <v>32</v>
      </c>
      <c r="M42" s="827"/>
      <c r="N42" s="828"/>
      <c r="O42" s="167"/>
      <c r="P42" s="167"/>
      <c r="Q42" s="167"/>
      <c r="R42" s="566" t="s">
        <v>1132</v>
      </c>
      <c r="S42" s="377"/>
      <c r="T42" s="167"/>
      <c r="U42" s="167"/>
      <c r="V42" s="167"/>
      <c r="W42" s="167"/>
      <c r="X42" s="829">
        <f>K27*M38/27</f>
        <v>1557.5756172839506</v>
      </c>
      <c r="Y42" s="829"/>
      <c r="Z42" s="829"/>
      <c r="AA42" s="829"/>
      <c r="AB42" s="829"/>
      <c r="AC42" s="567" t="s">
        <v>1133</v>
      </c>
      <c r="AD42" s="167"/>
      <c r="AE42" s="167"/>
      <c r="AF42" s="167"/>
      <c r="AG42" s="167"/>
      <c r="AH42" s="167"/>
      <c r="AI42" s="167"/>
      <c r="AJ42" s="167"/>
      <c r="AK42" s="167"/>
      <c r="AL42" s="407"/>
    </row>
    <row r="43" spans="1:38" ht="18" customHeight="1">
      <c r="A43" s="416"/>
      <c r="B43" s="566" t="s">
        <v>1134</v>
      </c>
      <c r="C43" s="94"/>
      <c r="D43" s="94"/>
      <c r="E43" s="94"/>
      <c r="F43" s="94"/>
      <c r="G43" s="94"/>
      <c r="H43" s="94"/>
      <c r="I43" s="167"/>
      <c r="J43" s="167"/>
      <c r="K43" s="94"/>
      <c r="L43" s="826">
        <v>4</v>
      </c>
      <c r="M43" s="827"/>
      <c r="N43" s="828"/>
      <c r="O43" s="167"/>
      <c r="P43" s="167"/>
      <c r="Q43" s="167"/>
      <c r="R43" s="566" t="s">
        <v>1135</v>
      </c>
      <c r="S43" s="377"/>
      <c r="T43" s="167"/>
      <c r="U43" s="167"/>
      <c r="V43" s="167"/>
      <c r="W43" s="167"/>
      <c r="X43" s="829">
        <f>(K27*M38-(S11+S13+AE17+AE19+AE21+AE23+AE25))*140/2000</f>
        <v>1736.5279166666664</v>
      </c>
      <c r="Y43" s="829"/>
      <c r="Z43" s="829"/>
      <c r="AA43" s="829"/>
      <c r="AB43" s="829"/>
      <c r="AC43" s="567" t="s">
        <v>1136</v>
      </c>
      <c r="AD43" s="167"/>
      <c r="AE43" s="570" t="s">
        <v>1137</v>
      </c>
      <c r="AF43" s="167"/>
      <c r="AG43" s="167"/>
      <c r="AH43" s="167"/>
      <c r="AI43" s="167"/>
      <c r="AJ43" s="167"/>
      <c r="AK43" s="167"/>
      <c r="AL43" s="407"/>
    </row>
    <row r="44" spans="1:38" ht="18" customHeight="1">
      <c r="A44" s="416"/>
      <c r="B44" s="566" t="s">
        <v>1138</v>
      </c>
      <c r="C44" s="94"/>
      <c r="D44" s="94"/>
      <c r="E44" s="94"/>
      <c r="F44" s="94"/>
      <c r="G44" s="94"/>
      <c r="H44" s="94"/>
      <c r="I44" s="167"/>
      <c r="J44" s="167"/>
      <c r="K44" s="94"/>
      <c r="L44" s="826">
        <v>8</v>
      </c>
      <c r="M44" s="827"/>
      <c r="N44" s="828"/>
      <c r="O44" s="167"/>
      <c r="P44" s="167"/>
      <c r="Q44" s="167"/>
      <c r="R44" s="566" t="s">
        <v>1139</v>
      </c>
      <c r="S44" s="377"/>
      <c r="T44" s="167"/>
      <c r="U44" s="167"/>
      <c r="V44" s="167"/>
      <c r="W44" s="167"/>
      <c r="X44" s="829">
        <f>K27</f>
        <v>6269</v>
      </c>
      <c r="Y44" s="829"/>
      <c r="Z44" s="829"/>
      <c r="AA44" s="829"/>
      <c r="AB44" s="829"/>
      <c r="AC44" s="567" t="s">
        <v>1112</v>
      </c>
      <c r="AD44" s="167"/>
      <c r="AE44" s="167"/>
      <c r="AF44" s="167"/>
      <c r="AG44" s="167"/>
      <c r="AH44" s="167"/>
      <c r="AI44" s="167"/>
      <c r="AJ44" s="167"/>
      <c r="AK44" s="167"/>
      <c r="AL44" s="407"/>
    </row>
    <row r="45" spans="1:38" ht="18" customHeight="1">
      <c r="A45" s="416"/>
      <c r="B45" s="566" t="s">
        <v>1140</v>
      </c>
      <c r="C45" s="167"/>
      <c r="D45" s="167"/>
      <c r="E45" s="167"/>
      <c r="F45" s="167"/>
      <c r="G45" s="167"/>
      <c r="H45" s="167"/>
      <c r="I45" s="167"/>
      <c r="J45" s="167"/>
      <c r="K45" s="829">
        <f>IF(P9=1,3*40/12*(85.4/12*L42+13.4/12*L43)+2*16/12*(85.4/12*L42+13.4/12*L43)+L44*15*40/12,IF(P9=2,3*57/12*(84.9/12*L42+17.61/12*L43)+2*30/12*(84.9/12*L42+17.61/12*L43)+L44*15*57/12,IF(P9=3,3*85.8/12*(85.3/12*L42+29.99/12*L43)+2*45.5/12*(85.3/12*L42+29.99/12*L43)+L44*17.5*85.8/12,3*109.5/12*(48.3/12*L42+41.2/12*L43)+2*60/12*(48.3/12*L42+41.2/12*L43)+L44*17.5*109.5/12)))</f>
        <v>6604.6833333333325</v>
      </c>
      <c r="L45" s="829"/>
      <c r="M45" s="829"/>
      <c r="N45" s="829"/>
      <c r="O45" s="567" t="s">
        <v>1112</v>
      </c>
      <c r="P45" s="167"/>
      <c r="Q45" s="167"/>
      <c r="R45" s="566" t="s">
        <v>1141</v>
      </c>
      <c r="S45" s="167"/>
      <c r="T45" s="167"/>
      <c r="U45" s="167"/>
      <c r="V45" s="167"/>
      <c r="W45" s="167"/>
      <c r="X45" s="829">
        <f>K29</f>
        <v>320.56</v>
      </c>
      <c r="Y45" s="829"/>
      <c r="Z45" s="829"/>
      <c r="AA45" s="829"/>
      <c r="AB45" s="829"/>
      <c r="AC45" s="567" t="s">
        <v>13</v>
      </c>
      <c r="AD45" s="167"/>
      <c r="AE45" s="167"/>
      <c r="AF45" s="167"/>
      <c r="AG45" s="167"/>
      <c r="AH45" s="167"/>
      <c r="AI45" s="167"/>
      <c r="AJ45" s="167"/>
      <c r="AK45" s="167"/>
      <c r="AL45" s="407"/>
    </row>
    <row r="46" spans="1:38" ht="18" customHeight="1">
      <c r="A46" s="416"/>
      <c r="B46" s="167"/>
      <c r="C46" s="377"/>
      <c r="D46" s="377"/>
      <c r="E46" s="37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566" t="s">
        <v>1142</v>
      </c>
      <c r="S46" s="94"/>
      <c r="T46" s="94"/>
      <c r="U46" s="94"/>
      <c r="V46" s="94"/>
      <c r="W46" s="94"/>
      <c r="X46" s="579"/>
      <c r="Y46" s="579"/>
      <c r="Z46" s="830">
        <f>K45*1.15</f>
        <v>7595.3858333333319</v>
      </c>
      <c r="AA46" s="830"/>
      <c r="AB46" s="830"/>
      <c r="AC46" s="567" t="s">
        <v>1112</v>
      </c>
      <c r="AD46" s="167"/>
      <c r="AE46" s="570" t="s">
        <v>1143</v>
      </c>
      <c r="AF46" s="167"/>
      <c r="AG46" s="167"/>
      <c r="AH46" s="167"/>
      <c r="AI46" s="167"/>
      <c r="AJ46" s="167"/>
      <c r="AK46" s="167"/>
      <c r="AL46" s="407"/>
    </row>
    <row r="47" spans="1:38" ht="18" customHeight="1">
      <c r="A47" s="416"/>
      <c r="B47" s="167"/>
      <c r="C47" s="377"/>
      <c r="D47" s="377"/>
      <c r="E47" s="37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566" t="s">
        <v>1144</v>
      </c>
      <c r="S47" s="377"/>
      <c r="T47" s="167"/>
      <c r="U47" s="167"/>
      <c r="V47" s="167"/>
      <c r="W47" s="167"/>
      <c r="X47" s="167"/>
      <c r="Y47" s="829">
        <f>(K29*M38+2*K27)*1.15</f>
        <v>16891.68683333333</v>
      </c>
      <c r="Z47" s="829"/>
      <c r="AA47" s="829"/>
      <c r="AB47" s="829"/>
      <c r="AC47" s="567" t="s">
        <v>1112</v>
      </c>
      <c r="AD47" s="167"/>
      <c r="AE47" s="570" t="s">
        <v>1143</v>
      </c>
      <c r="AF47" s="167"/>
      <c r="AG47" s="167"/>
      <c r="AH47" s="167"/>
      <c r="AI47" s="167"/>
      <c r="AJ47" s="167"/>
      <c r="AK47" s="167"/>
      <c r="AL47" s="407"/>
    </row>
    <row r="48" spans="1:38" ht="18" customHeight="1">
      <c r="A48" s="416"/>
      <c r="B48" s="167"/>
      <c r="C48" s="377"/>
      <c r="D48" s="377"/>
      <c r="E48" s="37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94"/>
      <c r="Q48" s="167"/>
      <c r="R48" s="569" t="s">
        <v>1145</v>
      </c>
      <c r="S48" s="94"/>
      <c r="T48" s="94"/>
      <c r="U48" s="94"/>
      <c r="V48" s="94"/>
      <c r="W48" s="167"/>
      <c r="X48" s="167"/>
      <c r="Y48" s="829">
        <f>0.4*(K27*M38-(S11+S13+AE17+AE19+AE21+AE23+AE25))+S11+S13+W17+W19+W21+W23+W25</f>
        <v>27170.016666666666</v>
      </c>
      <c r="Z48" s="829"/>
      <c r="AA48" s="829"/>
      <c r="AB48" s="829"/>
      <c r="AC48" s="567" t="s">
        <v>1102</v>
      </c>
      <c r="AD48" s="167"/>
      <c r="AE48" s="167"/>
      <c r="AF48" s="167"/>
      <c r="AG48" s="167"/>
      <c r="AH48" s="167"/>
      <c r="AI48" s="167"/>
      <c r="AJ48" s="167"/>
      <c r="AK48" s="167"/>
      <c r="AL48" s="407"/>
    </row>
    <row r="49" spans="1:38" ht="18" customHeight="1">
      <c r="A49" s="416"/>
      <c r="B49" s="167"/>
      <c r="C49" s="578"/>
      <c r="D49" s="578"/>
      <c r="E49" s="578"/>
      <c r="F49" s="578"/>
      <c r="G49" s="578"/>
      <c r="H49" s="578"/>
      <c r="I49" s="578"/>
      <c r="J49" s="578"/>
      <c r="K49" s="578"/>
      <c r="L49" s="578"/>
      <c r="M49" s="578"/>
      <c r="N49" s="578"/>
      <c r="O49" s="578"/>
      <c r="P49" s="94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407"/>
    </row>
    <row r="50" spans="1:38" ht="18" customHeight="1">
      <c r="A50" s="580"/>
      <c r="B50" s="581"/>
      <c r="C50" s="582"/>
      <c r="D50" s="582"/>
      <c r="E50" s="582"/>
      <c r="F50" s="581"/>
      <c r="G50" s="581"/>
      <c r="H50" s="581"/>
      <c r="I50" s="581"/>
      <c r="J50" s="581"/>
      <c r="K50" s="581"/>
      <c r="L50" s="581"/>
      <c r="M50" s="581"/>
      <c r="N50" s="581"/>
      <c r="O50" s="581"/>
      <c r="P50" s="581"/>
      <c r="Q50" s="581"/>
      <c r="R50" s="581"/>
      <c r="S50" s="581"/>
      <c r="T50" s="581"/>
      <c r="U50" s="581"/>
      <c r="V50" s="581"/>
      <c r="W50" s="581"/>
      <c r="X50" s="581"/>
      <c r="Y50" s="581"/>
      <c r="Z50" s="581"/>
      <c r="AA50" s="581"/>
      <c r="AB50" s="581"/>
      <c r="AC50" s="581"/>
      <c r="AD50" s="581"/>
      <c r="AE50" s="581"/>
      <c r="AF50" s="581"/>
      <c r="AG50" s="581"/>
      <c r="AH50" s="581"/>
      <c r="AI50" s="581"/>
      <c r="AJ50" s="581"/>
      <c r="AK50" s="581"/>
      <c r="AL50" s="581"/>
    </row>
    <row r="51" spans="1:38" ht="18" customHeight="1"/>
    <row r="52" spans="1:38" ht="15" customHeight="1"/>
    <row r="53" spans="1:38" ht="15" customHeight="1"/>
    <row r="54" spans="1:38" ht="15" customHeight="1"/>
    <row r="55" spans="1:38" ht="15" customHeight="1"/>
    <row r="56" spans="1:38" ht="15" customHeight="1"/>
    <row r="57" spans="1:38" ht="15" customHeight="1"/>
    <row r="58" spans="1:38" ht="15" customHeight="1"/>
    <row r="59" spans="1:38" ht="15" customHeight="1"/>
    <row r="60" spans="1:38" ht="15" customHeight="1"/>
    <row r="61" spans="1:38" ht="15" customHeight="1"/>
    <row r="62" spans="1:38" ht="15" customHeight="1"/>
    <row r="63" spans="1:38" ht="15" customHeight="1"/>
    <row r="64" spans="1:3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</sheetData>
  <sheetProtection algorithmName="SHA-512" hashValue="Ytt8cagIkwONMqEu7e4I28EdRAwfkPyASjXl7atJsTd2JD/P1Snsr/h/UFOYHDxOReTijnJBCOP2uDLUGcY+6g==" saltValue="7fF8FaOTZ7ZecGsUR/dL0Q==" spinCount="100000" sheet="1" objects="1" scenarios="1" selectLockedCells="1"/>
  <mergeCells count="62">
    <mergeCell ref="S11:V11"/>
    <mergeCell ref="B2:Q3"/>
    <mergeCell ref="B4:Q5"/>
    <mergeCell ref="B6:Q7"/>
    <mergeCell ref="L11:N11"/>
    <mergeCell ref="P11:R11"/>
    <mergeCell ref="L13:N13"/>
    <mergeCell ref="P13:R13"/>
    <mergeCell ref="S13:V13"/>
    <mergeCell ref="K15:Q15"/>
    <mergeCell ref="R15:S15"/>
    <mergeCell ref="W17:Y17"/>
    <mergeCell ref="AB17:AD17"/>
    <mergeCell ref="AE17:AG17"/>
    <mergeCell ref="O19:P19"/>
    <mergeCell ref="T19:V19"/>
    <mergeCell ref="W19:Y19"/>
    <mergeCell ref="AB19:AD19"/>
    <mergeCell ref="AE19:AG19"/>
    <mergeCell ref="O17:P17"/>
    <mergeCell ref="T17:V17"/>
    <mergeCell ref="AE21:AG21"/>
    <mergeCell ref="O23:P23"/>
    <mergeCell ref="T23:V23"/>
    <mergeCell ref="W23:Y23"/>
    <mergeCell ref="AB23:AD23"/>
    <mergeCell ref="AE23:AG23"/>
    <mergeCell ref="O21:P21"/>
    <mergeCell ref="T21:V21"/>
    <mergeCell ref="W21:Y21"/>
    <mergeCell ref="AB21:AD21"/>
    <mergeCell ref="K25:N25"/>
    <mergeCell ref="T25:V25"/>
    <mergeCell ref="W25:Y25"/>
    <mergeCell ref="AB25:AD25"/>
    <mergeCell ref="AE25:AG25"/>
    <mergeCell ref="K29:N29"/>
    <mergeCell ref="M31:N31"/>
    <mergeCell ref="M33:N33"/>
    <mergeCell ref="AB33:AD33"/>
    <mergeCell ref="K27:N27"/>
    <mergeCell ref="M34:N34"/>
    <mergeCell ref="AB34:AD34"/>
    <mergeCell ref="M35:N35"/>
    <mergeCell ref="AB35:AD35"/>
    <mergeCell ref="M36:N36"/>
    <mergeCell ref="AB36:AD36"/>
    <mergeCell ref="M37:N37"/>
    <mergeCell ref="AB37:AD37"/>
    <mergeCell ref="M38:N38"/>
    <mergeCell ref="AB38:AD38"/>
    <mergeCell ref="L42:N42"/>
    <mergeCell ref="X42:AB42"/>
    <mergeCell ref="L43:N43"/>
    <mergeCell ref="X43:AB43"/>
    <mergeCell ref="Y48:AB48"/>
    <mergeCell ref="L44:N44"/>
    <mergeCell ref="X44:AB44"/>
    <mergeCell ref="K45:N45"/>
    <mergeCell ref="X45:AB45"/>
    <mergeCell ref="Z46:AB46"/>
    <mergeCell ref="Y47:AB4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Drop Down 1">
              <controlPr defaultSize="0" autoLine="0" autoPict="0">
                <anchor moveWithCells="1">
                  <from>
                    <xdr:col>11</xdr:col>
                    <xdr:colOff>9525</xdr:colOff>
                    <xdr:row>7</xdr:row>
                    <xdr:rowOff>152400</xdr:rowOff>
                  </from>
                  <to>
                    <xdr:col>16</xdr:col>
                    <xdr:colOff>104775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Drop Down 2">
              <controlPr defaultSize="0" autoLine="0" autoPict="0">
                <anchor moveWithCells="1">
                  <from>
                    <xdr:col>15</xdr:col>
                    <xdr:colOff>171450</xdr:colOff>
                    <xdr:row>16</xdr:row>
                    <xdr:rowOff>9525</xdr:rowOff>
                  </from>
                  <to>
                    <xdr:col>18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Drop Down 3">
              <controlPr defaultSize="0" autoLine="0" autoPict="0">
                <anchor moveWithCells="1">
                  <from>
                    <xdr:col>6</xdr:col>
                    <xdr:colOff>57150</xdr:colOff>
                    <xdr:row>15</xdr:row>
                    <xdr:rowOff>180975</xdr:rowOff>
                  </from>
                  <to>
                    <xdr:col>13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Drop Down 4">
              <controlPr defaultSize="0" autoLine="0" autoPict="0">
                <anchor moveWithCells="1">
                  <from>
                    <xdr:col>7</xdr:col>
                    <xdr:colOff>95250</xdr:colOff>
                    <xdr:row>14</xdr:row>
                    <xdr:rowOff>0</xdr:rowOff>
                  </from>
                  <to>
                    <xdr:col>9</xdr:col>
                    <xdr:colOff>123825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Drop Down 5">
              <controlPr defaultSize="0" autoLine="0" autoPict="0">
                <anchor moveWithCells="1">
                  <from>
                    <xdr:col>6</xdr:col>
                    <xdr:colOff>57150</xdr:colOff>
                    <xdr:row>17</xdr:row>
                    <xdr:rowOff>180975</xdr:rowOff>
                  </from>
                  <to>
                    <xdr:col>13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Drop Down 6">
              <controlPr defaultSize="0" autoLine="0" autoPict="0">
                <anchor moveWithCells="1">
                  <from>
                    <xdr:col>15</xdr:col>
                    <xdr:colOff>171450</xdr:colOff>
                    <xdr:row>18</xdr:row>
                    <xdr:rowOff>9525</xdr:rowOff>
                  </from>
                  <to>
                    <xdr:col>18</xdr:col>
                    <xdr:colOff>28575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Drop Down 7">
              <controlPr defaultSize="0" autoLine="0" autoPict="0">
                <anchor moveWithCells="1">
                  <from>
                    <xdr:col>6</xdr:col>
                    <xdr:colOff>57150</xdr:colOff>
                    <xdr:row>19</xdr:row>
                    <xdr:rowOff>180975</xdr:rowOff>
                  </from>
                  <to>
                    <xdr:col>13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Drop Down 8">
              <controlPr defaultSize="0" autoLine="0" autoPict="0">
                <anchor moveWithCells="1">
                  <from>
                    <xdr:col>15</xdr:col>
                    <xdr:colOff>171450</xdr:colOff>
                    <xdr:row>20</xdr:row>
                    <xdr:rowOff>9525</xdr:rowOff>
                  </from>
                  <to>
                    <xdr:col>18</xdr:col>
                    <xdr:colOff>28575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Drop Down 9">
              <controlPr defaultSize="0" autoLine="0" autoPict="0">
                <anchor moveWithCells="1">
                  <from>
                    <xdr:col>6</xdr:col>
                    <xdr:colOff>57150</xdr:colOff>
                    <xdr:row>21</xdr:row>
                    <xdr:rowOff>180975</xdr:rowOff>
                  </from>
                  <to>
                    <xdr:col>13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Drop Down 10">
              <controlPr defaultSize="0" autoLine="0" autoPict="0">
                <anchor moveWithCells="1">
                  <from>
                    <xdr:col>15</xdr:col>
                    <xdr:colOff>171450</xdr:colOff>
                    <xdr:row>22</xdr:row>
                    <xdr:rowOff>9525</xdr:rowOff>
                  </from>
                  <to>
                    <xdr:col>18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Index</vt:lpstr>
      <vt:lpstr>0-Manifold</vt:lpstr>
      <vt:lpstr>1-Manifold (Full Length)</vt:lpstr>
      <vt:lpstr>2-Manifold (Full Length)</vt:lpstr>
      <vt:lpstr>1-Manifold (Variable Length)</vt:lpstr>
      <vt:lpstr>2-Manifold (Variable Length)</vt:lpstr>
      <vt:lpstr>3-Stage Storage</vt:lpstr>
      <vt:lpstr>Fittings</vt:lpstr>
      <vt:lpstr>DWG INFO</vt:lpstr>
      <vt:lpstr>Data</vt:lpstr>
      <vt:lpstr>Bearing Pressures</vt:lpstr>
      <vt:lpstr>'0-Manifold'!Print_Area</vt:lpstr>
      <vt:lpstr>'1-Manifold (Full Length)'!Print_Area</vt:lpstr>
      <vt:lpstr>'1-Manifold (Variable Length)'!Print_Area</vt:lpstr>
      <vt:lpstr>'2-Manifold (Full Length)'!Print_Area</vt:lpstr>
      <vt:lpstr>'2-Manifold (Variable Length)'!Print_Area</vt:lpstr>
      <vt:lpstr>'3-Stage Storage'!Print_Area</vt:lpstr>
      <vt:lpstr>'Bearing Pressures'!Print_Area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Silagyi</dc:creator>
  <cp:lastModifiedBy>Rod King</cp:lastModifiedBy>
  <cp:lastPrinted>2022-04-01T17:55:53Z</cp:lastPrinted>
  <dcterms:created xsi:type="dcterms:W3CDTF">2015-02-07T22:13:57Z</dcterms:created>
  <dcterms:modified xsi:type="dcterms:W3CDTF">2022-04-03T01:18:10Z</dcterms:modified>
</cp:coreProperties>
</file>